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orchunova\g\СОВЕТ 2022\ПМР\Актуальная редакция ПМР\Январь ПМР\"/>
    </mc:Choice>
  </mc:AlternateContent>
  <bookViews>
    <workbookView xWindow="-120" yWindow="-120" windowWidth="25440" windowHeight="15390" firstSheet="8" activeTab="13"/>
  </bookViews>
  <sheets>
    <sheet name="Второе чтение" sheetId="18" r:id="rId1"/>
    <sheet name="0702-53031" sheetId="19" r:id="rId2"/>
    <sheet name="0702-L3041" sheetId="20" r:id="rId3"/>
    <sheet name="0702-51690" sheetId="21" r:id="rId4"/>
    <sheet name="0702-50970" sheetId="22" r:id="rId5"/>
    <sheet name="0703-54910" sheetId="23" r:id="rId6"/>
    <sheet name="0709-52100" sheetId="24" r:id="rId7"/>
    <sheet name="0703-81430" sheetId="25" r:id="rId8"/>
    <sheet name="073-S1950" sheetId="26" r:id="rId9"/>
    <sheet name="0707-S0190" sheetId="28" r:id="rId10"/>
    <sheet name="0707-80200" sheetId="29" r:id="rId11"/>
    <sheet name="0703-81420" sheetId="30" r:id="rId12"/>
    <sheet name="0703-81440" sheetId="31" r:id="rId13"/>
    <sheet name="Январь" sheetId="32" r:id="rId14"/>
  </sheets>
  <definedNames>
    <definedName name="_xlnm.Print_Area" localSheetId="4">'0702-50970'!$A$1:$H$16</definedName>
    <definedName name="_xlnm.Print_Area" localSheetId="3">'0702-51690'!$A$1:$H$14</definedName>
    <definedName name="_xlnm.Print_Area" localSheetId="1">'0702-53031'!$A$1:$H$10</definedName>
    <definedName name="_xlnm.Print_Area" localSheetId="2">'0702-L3041'!$A$1:$H$18</definedName>
    <definedName name="_xlnm.Print_Area" localSheetId="5">'0703-54910'!$A$1:$H$16</definedName>
    <definedName name="_xlnm.Print_Area" localSheetId="11">'0703-81420'!$A$1:$H$10</definedName>
    <definedName name="_xlnm.Print_Area" localSheetId="7">'0703-81430'!$A$1:$H$10</definedName>
    <definedName name="_xlnm.Print_Area" localSheetId="12">'0703-81440'!$A$1:$H$10</definedName>
    <definedName name="_xlnm.Print_Area" localSheetId="10">'0707-80200'!$A$1:$H$10</definedName>
    <definedName name="_xlnm.Print_Area" localSheetId="9">'0707-S0190'!$A$1:$H$18</definedName>
    <definedName name="_xlnm.Print_Area" localSheetId="6">'0709-52100'!$A$1:$H$16</definedName>
    <definedName name="_xlnm.Print_Area" localSheetId="8">'073-S1950'!$A$1:$H$15</definedName>
    <definedName name="_xlnm.Print_Area" localSheetId="0">'Второе чтение'!$A$1:$H$146</definedName>
    <definedName name="_xlnm.Print_Area" localSheetId="13">Январь!$A$1:$H$148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5" i="32" l="1"/>
  <c r="G25" i="32" l="1"/>
  <c r="G26" i="32"/>
  <c r="F23" i="32" l="1"/>
  <c r="F22" i="32"/>
  <c r="F8" i="32"/>
  <c r="F25" i="32"/>
  <c r="F108" i="32"/>
  <c r="G53" i="32" l="1"/>
  <c r="F53" i="32"/>
  <c r="F34" i="32"/>
  <c r="F124" i="32" l="1"/>
  <c r="F74" i="32"/>
  <c r="F35" i="32" l="1"/>
  <c r="F11" i="32"/>
  <c r="F52" i="32"/>
  <c r="F84" i="32"/>
  <c r="F147" i="32"/>
  <c r="H144" i="32"/>
  <c r="G144" i="32"/>
  <c r="F144" i="32"/>
  <c r="H143" i="32"/>
  <c r="G143" i="32"/>
  <c r="F143" i="32"/>
  <c r="H138" i="32"/>
  <c r="G138" i="32"/>
  <c r="F138" i="32"/>
  <c r="H137" i="32"/>
  <c r="G137" i="32"/>
  <c r="F137" i="32"/>
  <c r="F135" i="32"/>
  <c r="F133" i="32"/>
  <c r="F129" i="32"/>
  <c r="F127" i="32"/>
  <c r="H125" i="32"/>
  <c r="G125" i="32"/>
  <c r="H123" i="32"/>
  <c r="G123" i="32"/>
  <c r="F122" i="32"/>
  <c r="H121" i="32"/>
  <c r="G121" i="32"/>
  <c r="F121" i="32"/>
  <c r="H120" i="32"/>
  <c r="G120" i="32"/>
  <c r="F120" i="32"/>
  <c r="F119" i="32"/>
  <c r="F117" i="32"/>
  <c r="F115" i="32"/>
  <c r="H114" i="32"/>
  <c r="G114" i="32"/>
  <c r="F114" i="32"/>
  <c r="F113" i="32"/>
  <c r="F112" i="32"/>
  <c r="F100" i="32"/>
  <c r="F99" i="32"/>
  <c r="F83" i="32"/>
  <c r="F82" i="32"/>
  <c r="F78" i="32"/>
  <c r="F76" i="32" s="1"/>
  <c r="H76" i="32"/>
  <c r="G76" i="32"/>
  <c r="F71" i="32"/>
  <c r="F69" i="32"/>
  <c r="H68" i="32"/>
  <c r="H67" i="32" s="1"/>
  <c r="G68" i="32"/>
  <c r="G67" i="32" s="1"/>
  <c r="F68" i="32"/>
  <c r="F66" i="32"/>
  <c r="H65" i="32"/>
  <c r="G65" i="32"/>
  <c r="F65" i="32"/>
  <c r="H62" i="32"/>
  <c r="G62" i="32"/>
  <c r="F62" i="32"/>
  <c r="H61" i="32"/>
  <c r="G61" i="32"/>
  <c r="F61" i="32"/>
  <c r="H57" i="32"/>
  <c r="G57" i="32"/>
  <c r="F57" i="32"/>
  <c r="H52" i="32"/>
  <c r="G52" i="32"/>
  <c r="H50" i="32"/>
  <c r="G50" i="32"/>
  <c r="F50" i="32"/>
  <c r="H47" i="32"/>
  <c r="G47" i="32"/>
  <c r="F46" i="32"/>
  <c r="H45" i="32"/>
  <c r="G45" i="32"/>
  <c r="F45" i="32"/>
  <c r="F42" i="32"/>
  <c r="F41" i="32"/>
  <c r="H40" i="32"/>
  <c r="G40" i="32"/>
  <c r="F40" i="32"/>
  <c r="H39" i="32"/>
  <c r="G39" i="32"/>
  <c r="F39" i="32"/>
  <c r="H38" i="32"/>
  <c r="G38" i="32"/>
  <c r="F38" i="32"/>
  <c r="F37" i="32"/>
  <c r="G35" i="32"/>
  <c r="H33" i="32"/>
  <c r="G33" i="32"/>
  <c r="F33" i="32"/>
  <c r="F32" i="32"/>
  <c r="H31" i="32"/>
  <c r="G31" i="32"/>
  <c r="F31" i="32"/>
  <c r="H28" i="32"/>
  <c r="G28" i="32"/>
  <c r="H26" i="32"/>
  <c r="H25" i="32"/>
  <c r="H24" i="32"/>
  <c r="G24" i="32"/>
  <c r="F24" i="32"/>
  <c r="H23" i="32"/>
  <c r="G23" i="32"/>
  <c r="H22" i="32"/>
  <c r="G22" i="32"/>
  <c r="F21" i="32"/>
  <c r="F20" i="32"/>
  <c r="H19" i="32"/>
  <c r="G19" i="32"/>
  <c r="F19" i="32"/>
  <c r="F16" i="32"/>
  <c r="H13" i="32"/>
  <c r="H12" i="32"/>
  <c r="G12" i="32"/>
  <c r="F12" i="32"/>
  <c r="H11" i="32"/>
  <c r="G11" i="32"/>
  <c r="H10" i="32"/>
  <c r="G10" i="32"/>
  <c r="F10" i="32"/>
  <c r="H9" i="32"/>
  <c r="G9" i="32"/>
  <c r="F9" i="32"/>
  <c r="H8" i="32"/>
  <c r="G8" i="32"/>
  <c r="H7" i="32"/>
  <c r="G7" i="32"/>
  <c r="F7" i="32"/>
  <c r="F6" i="32" l="1"/>
  <c r="G6" i="32"/>
  <c r="H6" i="32"/>
  <c r="G81" i="32"/>
  <c r="H81" i="32"/>
  <c r="H148" i="32" s="1"/>
  <c r="F67" i="32"/>
  <c r="F81" i="32"/>
  <c r="H6" i="31"/>
  <c r="F6" i="31"/>
  <c r="G6" i="31"/>
  <c r="G6" i="30"/>
  <c r="F8" i="30"/>
  <c r="F7" i="30"/>
  <c r="F6" i="30" s="1"/>
  <c r="H6" i="30"/>
  <c r="G148" i="32" l="1"/>
  <c r="F148" i="32"/>
  <c r="G6" i="29"/>
  <c r="F6" i="29"/>
  <c r="H6" i="29"/>
  <c r="H7" i="28"/>
  <c r="H6" i="28" s="1"/>
  <c r="G7" i="28"/>
  <c r="G6" i="28" s="1"/>
  <c r="F7" i="28"/>
  <c r="F6" i="28" s="1"/>
  <c r="F8" i="26"/>
  <c r="H6" i="26"/>
  <c r="F7" i="26"/>
  <c r="G6" i="26"/>
  <c r="F6" i="26" l="1"/>
  <c r="H6" i="25"/>
  <c r="F6" i="25"/>
  <c r="G6" i="25"/>
  <c r="G7" i="24"/>
  <c r="F7" i="24"/>
  <c r="F6" i="24" s="1"/>
  <c r="F6" i="23"/>
  <c r="H7" i="23"/>
  <c r="G7" i="23"/>
  <c r="G6" i="23" s="1"/>
  <c r="H6" i="22"/>
  <c r="G7" i="22"/>
  <c r="F7" i="22"/>
  <c r="F6" i="22" s="1"/>
  <c r="F7" i="21"/>
  <c r="H7" i="20"/>
  <c r="G7" i="20"/>
  <c r="F7" i="20"/>
  <c r="G6" i="24" l="1"/>
  <c r="H6" i="24"/>
  <c r="H6" i="23"/>
  <c r="G6" i="22"/>
  <c r="F6" i="21"/>
  <c r="G6" i="21"/>
  <c r="H6" i="21"/>
  <c r="F6" i="20"/>
  <c r="G6" i="20"/>
  <c r="H6" i="20"/>
  <c r="H6" i="19"/>
  <c r="G6" i="19"/>
  <c r="F6" i="19"/>
  <c r="F120" i="18"/>
  <c r="H112" i="18"/>
  <c r="G112" i="18"/>
  <c r="F112" i="18"/>
  <c r="F67" i="18"/>
  <c r="F68" i="18"/>
  <c r="F70" i="18"/>
  <c r="G52" i="18"/>
  <c r="F52" i="18"/>
  <c r="G49" i="18"/>
  <c r="H49" i="18"/>
  <c r="F49" i="18"/>
  <c r="H46" i="18"/>
  <c r="G46" i="18"/>
  <c r="G34" i="18"/>
  <c r="F34" i="18"/>
  <c r="F33" i="18"/>
  <c r="F31" i="18"/>
  <c r="H30" i="18"/>
  <c r="G30" i="18"/>
  <c r="F30" i="18"/>
  <c r="F15" i="18"/>
  <c r="H38" i="18" l="1"/>
  <c r="G38" i="18"/>
  <c r="F38" i="18"/>
  <c r="H37" i="18"/>
  <c r="G37" i="18"/>
  <c r="F37" i="18"/>
  <c r="H23" i="18"/>
  <c r="G23" i="18"/>
  <c r="F23" i="18"/>
  <c r="H24" i="18"/>
  <c r="G24" i="18"/>
  <c r="F24" i="18"/>
  <c r="H22" i="18"/>
  <c r="G22" i="18"/>
  <c r="F22" i="18"/>
  <c r="H21" i="18"/>
  <c r="G21" i="18"/>
  <c r="F21" i="18"/>
  <c r="H11" i="18"/>
  <c r="G11" i="18"/>
  <c r="F11" i="18"/>
  <c r="H8" i="18"/>
  <c r="G8" i="18"/>
  <c r="F8" i="18"/>
  <c r="H7" i="18"/>
  <c r="G7" i="18"/>
  <c r="F7" i="18"/>
  <c r="H10" i="18"/>
  <c r="G10" i="18"/>
  <c r="F10" i="18"/>
  <c r="H6" i="18"/>
  <c r="G6" i="18"/>
  <c r="F6" i="18"/>
  <c r="H9" i="18"/>
  <c r="G9" i="18"/>
  <c r="F9" i="18"/>
  <c r="F98" i="18" l="1"/>
  <c r="F111" i="18" l="1"/>
  <c r="F145" i="18" l="1"/>
  <c r="F45" i="18" l="1"/>
  <c r="F44" i="18"/>
  <c r="F36" i="18"/>
  <c r="F32" i="18"/>
  <c r="F20" i="18"/>
  <c r="F19" i="18"/>
  <c r="F18" i="18"/>
  <c r="F65" i="18"/>
  <c r="F119" i="18" l="1"/>
  <c r="F118" i="18"/>
  <c r="G118" i="18"/>
  <c r="G119" i="18"/>
  <c r="H118" i="18"/>
  <c r="H119" i="18"/>
  <c r="F135" i="18" l="1"/>
  <c r="F131" i="18"/>
  <c r="F127" i="18"/>
  <c r="F125" i="18"/>
  <c r="F117" i="18"/>
  <c r="F115" i="18"/>
  <c r="F113" i="18"/>
  <c r="F136" i="18" l="1"/>
  <c r="F82" i="18" l="1"/>
  <c r="F81" i="18" l="1"/>
  <c r="F80" i="18"/>
  <c r="F76" i="18"/>
  <c r="H67" i="18"/>
  <c r="G67" i="18"/>
  <c r="F133" i="18" l="1"/>
  <c r="H27" i="18" l="1"/>
  <c r="H12" i="18"/>
  <c r="F41" i="18" l="1"/>
  <c r="F40" i="18"/>
  <c r="G27" i="18"/>
  <c r="F51" i="18" l="1"/>
  <c r="H32" i="18"/>
  <c r="G32" i="18"/>
  <c r="H18" i="18"/>
  <c r="G18" i="18"/>
  <c r="H136" i="18" l="1"/>
  <c r="G136" i="18"/>
  <c r="H64" i="18" l="1"/>
  <c r="G64" i="18"/>
  <c r="F64" i="18"/>
  <c r="H39" i="18"/>
  <c r="G39" i="18"/>
  <c r="H61" i="18"/>
  <c r="G61" i="18"/>
  <c r="F61" i="18"/>
  <c r="G60" i="18"/>
  <c r="H60" i="18"/>
  <c r="F60" i="18"/>
  <c r="G56" i="18"/>
  <c r="H56" i="18"/>
  <c r="F56" i="18"/>
  <c r="H51" i="18" l="1"/>
  <c r="G51" i="18"/>
  <c r="H44" i="18"/>
  <c r="G44" i="18"/>
  <c r="F39" i="18"/>
  <c r="H25" i="18"/>
  <c r="G25" i="18"/>
  <c r="H5" i="18" l="1"/>
  <c r="F5" i="18"/>
  <c r="G5" i="18"/>
  <c r="F141" i="18"/>
  <c r="F110" i="18"/>
  <c r="F97" i="18"/>
  <c r="H142" i="18"/>
  <c r="G142" i="18"/>
  <c r="F142" i="18"/>
  <c r="H141" i="18"/>
  <c r="G141" i="18"/>
  <c r="H135" i="18" l="1"/>
  <c r="G135" i="18"/>
  <c r="H123" i="18"/>
  <c r="G123" i="18"/>
  <c r="H121" i="18"/>
  <c r="G121" i="18"/>
  <c r="F74" i="18"/>
  <c r="H74" i="18"/>
  <c r="G74" i="18"/>
  <c r="F66" i="18"/>
  <c r="H66" i="18"/>
  <c r="G66" i="18"/>
  <c r="F79" i="18" l="1"/>
  <c r="G79" i="18"/>
  <c r="H79" i="18"/>
  <c r="F146" i="18" l="1"/>
  <c r="G146" i="18"/>
  <c r="H146" i="18"/>
</calcChain>
</file>

<file path=xl/sharedStrings.xml><?xml version="1.0" encoding="utf-8"?>
<sst xmlns="http://schemas.openxmlformats.org/spreadsheetml/2006/main" count="1704" uniqueCount="302">
  <si>
    <t>Единица измерения: руб.</t>
  </si>
  <si>
    <t>Наименование расходов</t>
  </si>
  <si>
    <t>Код главы</t>
  </si>
  <si>
    <t>Раздел, подраздел</t>
  </si>
  <si>
    <t>Целевая статья</t>
  </si>
  <si>
    <t>Вид расхода</t>
  </si>
  <si>
    <t>2022 год</t>
  </si>
  <si>
    <t>2023 год</t>
  </si>
  <si>
    <t>Муниципальное казённое учреждение отдел образования администрации Приволжского  муниципального района</t>
  </si>
  <si>
    <t>073</t>
  </si>
  <si>
    <t>Расходы на обеспечение деятельности (оказание услуг) муниципальных учреждений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</si>
  <si>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0701</t>
  </si>
  <si>
    <t>03 1 01 01590</t>
  </si>
  <si>
    <t>100</t>
  </si>
  <si>
    <t>Расходы на обеспечение деятельности (оказание услуг) муниципальных учреждений дошкольного образования (Закупка товаров, работ и услуг для обеспечения государственных (муниципальных) нужд)</t>
  </si>
  <si>
    <t>200</t>
  </si>
  <si>
    <t>Расходы на обеспечение деятельности (оказание услуг) муниципальных учреждений дошкольного образования (Иные бюджетные ассигнования)</t>
  </si>
  <si>
    <t>800</t>
  </si>
  <si>
    <t>03 1 01 80170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</si>
  <si>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</si>
  <si>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03 1 04 80100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</si>
  <si>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(Закупка товаров, работ и услуг для обеспечения государственных (муниципальных) нужд)</t>
  </si>
  <si>
    <t>Организация мероприятий по пожарной и антитеррористической безопасности (Закупка товаров, работ и услуг для обеспечения государственных (муниципальных) нужд)</t>
  </si>
  <si>
    <t>03 1 05 07590</t>
  </si>
  <si>
    <t>Проведение ремонтных работ образовательных учреждений (Закупка товаров, работ и услуг для обеспечения государственных (муниципальных) нужд)</t>
  </si>
  <si>
    <t>03 1 06 08590</t>
  </si>
  <si>
    <t xml:space="preserve">Расходы на мероприятия по обучению детей-инвалидов (Закупка товаров, работ и услуг для обеспечения государственных (муниципальных) нужд) </t>
  </si>
  <si>
    <t>03 5 01 01490</t>
  </si>
  <si>
    <t xml:space="preserve">Охрана труда (Закупка товаров, работ и услуг для обеспечения государственных (муниципальных) нужд) </t>
  </si>
  <si>
    <t>03 7 01 41100</t>
  </si>
  <si>
    <t>0702</t>
  </si>
  <si>
    <t>Расходы на обеспечение деятельности (оказание услуг) муниципальных учреждений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</si>
  <si>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03 1 02 02590</t>
  </si>
  <si>
    <t>Расходы на обеспечение деятельности (оказание услуг) муниципальных учреждений общего образования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</si>
  <si>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общего образования (Иные межбюджетные ассигнования)</t>
  </si>
  <si>
    <t>03 1 02 53031</t>
  </si>
  <si>
    <t>03 1 02 80150</t>
  </si>
  <si>
    <t>Возмещение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(Предоставление субсидий бюджетным, автономным учреждениям и иным некоммерческим организациям)</t>
  </si>
  <si>
    <t>03 1 02 80160</t>
  </si>
  <si>
    <t>600</t>
  </si>
  <si>
    <t>03 1 02 L3041</t>
  </si>
  <si>
    <t>03 1 02 S1950</t>
  </si>
  <si>
    <t>Поддержка молодых специалистов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</si>
  <si>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03 3 01 06590</t>
  </si>
  <si>
    <t xml:space="preserve">Проведение государственной итоговой аттестации выпускников (Закупка товаров, работ и услуг для обеспечения государственных (муниципальных) нужд) </t>
  </si>
  <si>
    <t>03 6 01 01790</t>
  </si>
  <si>
    <t>Расходы на обеспечение деятельности (оказание услуг) муниципальных учреждений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</si>
  <si>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0703</t>
  </si>
  <si>
    <t>03 1 03 03590</t>
  </si>
  <si>
    <t>Расходы на обеспечение деятельности (оказание услуг) муниципальных учреждений дополнительного образования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</si>
  <si>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дополнительного образования (Иные бюджетные ассигнования)</t>
  </si>
  <si>
    <t>Расходы,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 до средней заработной платы учителей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</si>
  <si>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03 1 03 81420</t>
  </si>
  <si>
    <t>Расходы на  поэтапное доведение средней заработной платы педагогическим работникам иных муниципальных организаций дополнительного образования детей  до средней заработной платы учителей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</si>
  <si>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03 S1420</t>
  </si>
  <si>
    <t>Расходы,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</si>
  <si>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03 1 03 81440</t>
  </si>
  <si>
    <t>Расходы 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</si>
  <si>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03 S1440</t>
  </si>
  <si>
    <t>Расходы на проведение мероприятий для детей и молодежи (Закупка товаров, работ и услуг для обеспечения государственных (муниципальных) нужд)</t>
  </si>
  <si>
    <t>0707</t>
  </si>
  <si>
    <t>03 4 01 00100</t>
  </si>
  <si>
    <t>Расходы по организации отдыха детей в каникулярное время в части организации двухразового питания в лагерях дневного пребывания (Предоставление субсидий бюджетным, автономным учреждениям и иным некоммерческим организациям)</t>
  </si>
  <si>
    <t>03 4 02 S0190</t>
  </si>
  <si>
    <t>03 4 02 80200</t>
  </si>
  <si>
    <t>Расходы на обеспечение деятельности (оказание услуг) муниципальных учреждений общего образования (Предоставление субсидий бюджетным, автономным учреждениям и иным некоммерческим организациям)</t>
  </si>
  <si>
    <t>0709</t>
  </si>
  <si>
    <t>Организация мероприятий по поддержке одаренных детей  (Закупка товаров, работ и услуг для обеспечения государственных (муниципальных) нужд)</t>
  </si>
  <si>
    <t>03 2 01 05590</t>
  </si>
  <si>
    <t>Организация мероприятий по поддержке одаренных детей  (Социальное обеспечение и иные выплаты населению)</t>
  </si>
  <si>
    <t>300</t>
  </si>
  <si>
    <t>Поддержка молодых специалистов (Закупка товаров, работ и услуг для обеспечения государственных (муниципальных) нужд)</t>
  </si>
  <si>
    <t>Поддержка молодых специалистов (Социальное обеспечение и иные выплаты населению)</t>
  </si>
  <si>
    <t>Расходы на обеспечение деятельности (оказание услуг) муниципальных учреждений по другим вопросам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</si>
  <si>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42 9 00 04590</t>
  </si>
  <si>
    <t>Расходы на обеспечение деятельности (оказание услуг) муниципальных учреждений по другим вопросам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</si>
  <si>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по другим вопросам (Иные бюджетные ассигнования)</t>
  </si>
  <si>
    <t>Осуществление переданных органам местного самоуправления государственных полномочий Ивановской области 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</si>
  <si>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1004</t>
  </si>
  <si>
    <t>03 1 04 80110</t>
  </si>
  <si>
    <t>Расходы на реализацию спортивной подготовки в учреждениях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</si>
  <si>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1101</t>
  </si>
  <si>
    <t>03 8 01 01890</t>
  </si>
  <si>
    <t>Расходы на реализацию спортивной подготовки в учреждениях дополнительного образования (Закупка товаров, работ и услуг для обеспечения государственных (муниципальных) нужд)</t>
  </si>
  <si>
    <t>Финансовое управление администрации Приволжского  муниципального района</t>
  </si>
  <si>
    <t>092</t>
  </si>
  <si>
    <t>Обеспечение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</si>
  <si>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0106</t>
  </si>
  <si>
    <t>40 9 00 01500</t>
  </si>
  <si>
    <t>Обеспечение функций органов местного самоуправления (Закупка товаров, работ и услуг для обеспечения государственных (муниципальных) нужд)</t>
  </si>
  <si>
    <t>Обеспечение функций органов местного самоуправления (Иные бюджетные ассигнования)</t>
  </si>
  <si>
    <t>Обеспечение функций органов местного самоуправления. Передача (исполнение) осуществления части полномочий в соответствии с заключенными соглашениями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</si>
  <si>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40 9 00 01510</t>
  </si>
  <si>
    <t>Обеспечение средствами информатизации (Закупка товаров, работ и услуг для обеспечения государственных (муниципальных) нужд)</t>
  </si>
  <si>
    <t>11 3 01 00080</t>
  </si>
  <si>
    <t>Диспансеризация муниципальных служащих  (Закупка товаров, работ и услуг для обеспечения государственных (муниципальных) нужд)</t>
  </si>
  <si>
    <t>11 4 01 00090</t>
  </si>
  <si>
    <t>Расходы на создание условий для профессионального развития и подготовки кадров муниципальной службы (Закупка товаров, работ и услуг для обеспечения государственных (муниципальных) нужд)</t>
  </si>
  <si>
    <t>0705</t>
  </si>
  <si>
    <t>11 1 01 02500</t>
  </si>
  <si>
    <t xml:space="preserve">Совет Приволжского муниципального района </t>
  </si>
  <si>
    <t>122</t>
  </si>
  <si>
    <t>Обеспечение функционирования представительного органа муниципального образования. Передача (исполнение) осуществления части полномочий в соответствии с заключенными соглашениями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</si>
  <si>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0103</t>
  </si>
  <si>
    <t>40 9 00 01520</t>
  </si>
  <si>
    <t>Обеспечение функционирования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</si>
  <si>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40 9 00 01900</t>
  </si>
  <si>
    <t>Возмещение расходов депутатам, осуществляющим полномочия на непостоянной основе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</si>
  <si>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40 9 00 01910</t>
  </si>
  <si>
    <t>Администрация Приволжского  муниципального района</t>
  </si>
  <si>
    <t>303</t>
  </si>
  <si>
    <t>Обеспечение функционирования высшего должностного лица органа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</si>
  <si>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0102</t>
  </si>
  <si>
    <t>40 9 00 01700</t>
  </si>
  <si>
    <t>0104</t>
  </si>
  <si>
    <t>13 2 01 80360</t>
  </si>
  <si>
    <t>0105</t>
  </si>
  <si>
    <t>40 9 00 51200</t>
  </si>
  <si>
    <t>Резервный фонд Администрации Приволжского муниципального района (Иные бюджетные ассигнования)</t>
  </si>
  <si>
    <t>0111</t>
  </si>
  <si>
    <t>01 2 01 20810</t>
  </si>
  <si>
    <t xml:space="preserve">Организация учета муниципального имущества и проведение его технической инвентаризации (Закупка товаров, работ и услуг для обеспечения государственных (муниципальных) нужд) </t>
  </si>
  <si>
    <t>0113</t>
  </si>
  <si>
    <t>04 1 01 20910</t>
  </si>
  <si>
    <t>Расходы на содержание казны (Закупка товаров, работ и услуг для обеспечения государственных (муниципальных) нужд)</t>
  </si>
  <si>
    <t>04 1 01 20920</t>
  </si>
  <si>
    <t>Проведение независимой оценки размера арендной платы, рыночной стоимости муниципального имущества, а также земельных участков, находящихся в государственной собственности до разграничения (Закупка товаров, работ и услуг для обеспечения государственных (муниципальных) нужд)</t>
  </si>
  <si>
    <t>04 1 01 20930</t>
  </si>
  <si>
    <t>Выполнение кадастровых работ по межеванию, формированию земельных участков (Закупка товаров, работ и услуг для обеспечения государственных (муниципальных) нужд)</t>
  </si>
  <si>
    <t>04 2 01 20950</t>
  </si>
  <si>
    <t xml:space="preserve">Официальное опубликование правовых актов (Закупка товаров, работ и услуг для обеспечения государственных (муниципальных) нужд)
</t>
  </si>
  <si>
    <t>11 2 01 00040</t>
  </si>
  <si>
    <t>Приобретение элементов экипировки, устройств,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 (Закупка товаров, работ и услуг для обеспечения государственных (муниципальных) нужд)</t>
  </si>
  <si>
    <t>13 1 01 03000</t>
  </si>
  <si>
    <t>Выплата единовременного денежного вознаграждения гражданам за добровольную сдачу незаконно хранящегося оружия, боеприпасов, взрывчатых веществ,взрывчатых устройств (Социальное обеспечение и иные выплаты населению)</t>
  </si>
  <si>
    <t>13 1 01 01000</t>
  </si>
  <si>
    <t>Проведение мероприятий  по профилактике правонарушений (Закупка товаров, работ и услуг для обеспечения государственных (муниципальных) нужд)</t>
  </si>
  <si>
    <t>13 1 02 02000</t>
  </si>
  <si>
    <t>14 1 01 10010</t>
  </si>
  <si>
    <t>16 1 01 06690</t>
  </si>
  <si>
    <t>Проведение экспертизы ПСД на строительство ФАП  (Закупка товаров, работ и услуг для обеспечения государственных (муниципальных) нужд)</t>
  </si>
  <si>
    <t>16 2 01 40030</t>
  </si>
  <si>
    <t>Улучшение условий и охраны труда в учреждениях и предприятиях Приволжского муниципального района (Закупка товаров, работ и услуг для обеспечения государственных (муниципальных) нужд)</t>
  </si>
  <si>
    <t>18 1 02 41200</t>
  </si>
  <si>
    <t>40 9 00 70100</t>
  </si>
  <si>
    <t>40 9 00 80350</t>
  </si>
  <si>
    <t>Оплата годовых членских взносов в Союз малых городов России и в Совет муниципальных образований (Иные бюджетные ассигнования)</t>
  </si>
  <si>
    <t>41 9 00 90160</t>
  </si>
  <si>
    <t>Подготовка населения и организаций к действиям в чрезвычайной ситуации в мирное и военное время (Закупка товаров, работ и услуг для обеспечения государственных (муниципальных) нужд)</t>
  </si>
  <si>
    <t>0309</t>
  </si>
  <si>
    <t>05 1 01 90010</t>
  </si>
  <si>
    <t>0405</t>
  </si>
  <si>
    <t>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</si>
  <si>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06 2 01 80370</t>
  </si>
  <si>
    <t>Проведение мероприятий на территории Приволжского муниципального района  (Закупка товаров, работ и услуг для обеспечения государственных (муниципальных) нужд)</t>
  </si>
  <si>
    <t>10 1 01 10010</t>
  </si>
  <si>
    <t>Расходы связанные с организацией безопасности, содержанием и эксплуатацией гидротехнических сооружений (Иные бюджетные ассигнования)</t>
  </si>
  <si>
    <t>0406</t>
  </si>
  <si>
    <t>05 2 01 90070</t>
  </si>
  <si>
    <t xml:space="preserve">06 2 02 S0540 </t>
  </si>
  <si>
    <t>Государственная экспертиза по определению достоверности сметной стоимости  работ по ремонту автомобильных дорог (Закупка товаров, работ и услуг для обеспечения государственных (муниципальных) нужд)</t>
  </si>
  <si>
    <t>0409</t>
  </si>
  <si>
    <t>15 1 02 22140</t>
  </si>
  <si>
    <t>Строительный контроль (Закупка товаров, работ и услуг для обеспечения государственных (муниципальных) нужд)</t>
  </si>
  <si>
    <t>15 1 02 23000</t>
  </si>
  <si>
    <t>Ремонт автомобильных дорог (Закупка товаров, работ и услуг для обеспечения государственных (муниципальных) нужд)</t>
  </si>
  <si>
    <t>15 1 02 23120</t>
  </si>
  <si>
    <t>Расходы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обеспечения государственных (муниципальных) нужд)</t>
  </si>
  <si>
    <t>15 1 02 S0510</t>
  </si>
  <si>
    <t>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(Закупка товаров, работ и услуг для обеспечения государственных (муниципальных) нужд)</t>
  </si>
  <si>
    <t>15 1 01 00400</t>
  </si>
  <si>
    <t>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(Межбюджетные трансферты)</t>
  </si>
  <si>
    <t>500</t>
  </si>
  <si>
    <t>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(Закупка товаров, работ и услуг для обеспечения государственных (муниципальных) нужд)</t>
  </si>
  <si>
    <t>15 1 01 00450</t>
  </si>
  <si>
    <t>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(Межбюджетные трансферты)</t>
  </si>
  <si>
    <t>0412</t>
  </si>
  <si>
    <t>40 9 00 01400</t>
  </si>
  <si>
    <t>Финансовое обеспечение на организацию обеспечения проживающих в поселениях и нуждающихся в жилых помещениях малоимущих граждан жилыми помещениями, организацию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 (Закупка товаров, работ и услуг для обеспечения государственных (муниципальных) нужд)</t>
  </si>
  <si>
    <t>0501</t>
  </si>
  <si>
    <t xml:space="preserve">08 1 04 00410 </t>
  </si>
  <si>
    <t>0502</t>
  </si>
  <si>
    <t>08 1 01 28040</t>
  </si>
  <si>
    <t>Финансовое обеспечение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РФ, в части нецентрализованных источников водоснабжения (содержание колодцев) (Закупка товаров, работ и услуг для обеспечения государственных (муниципальных) нужд)</t>
  </si>
  <si>
    <t>08 1 03 00440</t>
  </si>
  <si>
    <t>Финансовое обеспечение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РФ, в части нецентрализованных источников водоснабжения (содержание колодцев) (Межбюджетные трансферты)</t>
  </si>
  <si>
    <t>Финансовое обеспечение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РФ, в части централизованных источников водоснабжения (Межбюджетные трансферты)</t>
  </si>
  <si>
    <t>08 1 03 00470</t>
  </si>
  <si>
    <t>Субсидия на реализацию мер по обеспечению экологической безопасности использования, обезвреживания и размещения отходов от объектов жилищного фонда, предприятий и организаций Приволжского муниципального района (Иные бюджетные ассигнования)</t>
  </si>
  <si>
    <t>0503</t>
  </si>
  <si>
    <t>06 1 01 60010</t>
  </si>
  <si>
    <t>Финансовое обеспечение на  организацию ритуальных услуг и содержание мест захоронения. (Закупка товаров, работ и услуг для обеспечения государственных (муниципальных) нужд)</t>
  </si>
  <si>
    <t xml:space="preserve">06 3 01 00430 </t>
  </si>
  <si>
    <t>Финансовое обеспечение на  организацию ритуальных услуг и содержание мест захоронения. (Межбюджетные трансферты)</t>
  </si>
  <si>
    <t>Субсидия на транспортировку умерших в морг (Иные бюджетные ассигнования)</t>
  </si>
  <si>
    <t>06 3 01 60020</t>
  </si>
  <si>
    <t>Выполнение наказов избирателей (Закупка товаров, работ и услуг для обеспечения государственных (муниципальных) нужд)</t>
  </si>
  <si>
    <t>53 9 00 01990</t>
  </si>
  <si>
    <t>Расходы на обеспечение деятельности (оказание услуг) муниципальных учреждений дополнительного образования (Предоставление субсидий бюджетным, автономным учреждениям и иным некоммерческим организациям)</t>
  </si>
  <si>
    <t>02 1 01 03590</t>
  </si>
  <si>
    <t>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 искусства  до средней заработной платы в Ивановской области. (Предоставление субсидий бюджетным, автономным учреждениям и иным некоммерческим организациям)</t>
  </si>
  <si>
    <t>02 1 01 81430</t>
  </si>
  <si>
    <t>Доплата к пенсиям муниципальным служащим (Социальное обеспечение и иные выплаты населению)</t>
  </si>
  <si>
    <t>1001</t>
  </si>
  <si>
    <t>11 1 02 70200</t>
  </si>
  <si>
    <t>Предоставление социальных выплат молодым семьям на приобретение жилых помещений или строительство индивидуальных жилых домов. Софинансирование районного бюджета (Социальное обеспечение и иные выплаты населению)</t>
  </si>
  <si>
    <t>1003</t>
  </si>
  <si>
    <t>12 1 01 L4970</t>
  </si>
  <si>
    <t>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рефинансированному). Софинансирование районного бюджета (Социальное обеспечение и иные выплаты населению)</t>
  </si>
  <si>
    <t>12 2 01 70020</t>
  </si>
  <si>
    <t>Мероприятия в области социальной политики. Расходы на оказание финансовой помощи некоммерческим организациям (Предоставление субсидий бюджетным, автономным учреждениям и иным некоммерческим организациям)</t>
  </si>
  <si>
    <t>51 9 00 70030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</si>
  <si>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</si>
  <si>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49 9 00R0820</t>
  </si>
  <si>
    <t>400</t>
  </si>
  <si>
    <t>Расходы на проведение мероприятий в области массового спорта  (Закупка товаров, работ и услуг для обеспечения государственных (муниципальных) нужд)</t>
  </si>
  <si>
    <t>1102</t>
  </si>
  <si>
    <t>17 1 01 00120</t>
  </si>
  <si>
    <t>ИТОГО</t>
  </si>
  <si>
    <t>Обеспечение функционирования представительного органа муниципального образования (Иные бюджетные ассигнования)</t>
  </si>
  <si>
    <t>Материальное вознаграждение гражданам, награжденным Почетной грамотой (Социальное обеспечение и иные выплаты населению)</t>
  </si>
  <si>
    <t>Обеспечение прочих обязательств администрации (Закупка товаров, работ и услуг для обеспечения государственных (муниципальных) нужд)</t>
  </si>
  <si>
    <t>40 9 00 01900</t>
  </si>
  <si>
    <t>03 1 Е1 51690</t>
  </si>
  <si>
    <t>03 1 Е2 50970</t>
  </si>
  <si>
    <t>03 1 Е4 52100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</si>
  <si>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(Закупка товаров, работ и услуг для обеспечения государственных (муниципальных) нужд) </t>
  </si>
  <si>
    <t>Обеспечение образовательных организаций материально-технической базой для внедрения цифровой образовательной среды (Закупка товаров, работ и услуг для обеспечения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</si>
  <si>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</si>
  <si>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</si>
  <si>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</si>
  <si>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>Осуществление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</si>
  <si>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E2 54910</t>
  </si>
  <si>
    <t>06 1 01 26210</t>
  </si>
  <si>
    <t>Ликвидация несанкционированных свалок (Закупка товаров, работ и услуг для обеспечения государственных (муниципальных) нужд)</t>
  </si>
  <si>
    <t>Текущее содержание инженерной защиты (дамбы, дренажные системы, водоперекачивающие станции) (Иные бюджетные ассигнования)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</si>
  <si>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</si>
  <si>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</si>
  <si>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</si>
  <si>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 (Закупка товаров, работ и услуг для обеспечения государственных (муниципальных) нужд)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</si>
  <si>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</si>
  <si>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</si>
  <si>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Актуализация схемы теплоснабжения Приволжского муниципального района (Закупка товаров, работ и услуг для обеспечения государственных (муниципальных) нужд)</t>
  </si>
  <si>
    <t xml:space="preserve">Организация озеленения территорий общего пользования (Закупка товаров, работ и услуг для обеспечения государственных (муниципальных) нужд) </t>
  </si>
  <si>
    <t>06 3 02 26310</t>
  </si>
  <si>
    <t>Проведение мероприятий на территории Приволжского муниципального района (Закупка товаров, работ и услуг для обеспечения государственных (муниципальных) нужд)</t>
  </si>
  <si>
    <t>Организация регулярных перевозок по муниципальным маршрутам (Закупка товаров, работ и услуг для обеспечения государственных (муниципальных) нужд)</t>
  </si>
  <si>
    <t>2024 год</t>
  </si>
  <si>
    <t>Ведомственная структура расходов бюджета Приволжского муниципального района на 2022 год и на плановый период 2023 и 2024 годов</t>
  </si>
  <si>
    <t>36 1 01 03010</t>
  </si>
  <si>
    <t>38 1 01 20980</t>
  </si>
  <si>
    <t>Выполнение мероприятий "Комплексного плана противодействия идеологии терроризма в Российской Федерации на 2019-2023 годы" на территории Приволжского муниципального района (Закупка товаров, работ и услуг для обеспечения государственных (муниципальных) нужд)</t>
  </si>
  <si>
    <t>Землеустроительные работы (Закупка товаров, работ и услуг для обеспечения государственных (муниципальных) нужд)</t>
  </si>
  <si>
    <t>38 2 01 21980</t>
  </si>
  <si>
    <t>38 2 02 20960</t>
  </si>
  <si>
    <t>Землеустроительные работы по описанию границ территориальных зон в границах поселений (Закупка товаров, работ и услуг для обеспечения государственных (муниципальных) нужд)</t>
  </si>
  <si>
    <t>Разработка проектов планировки и межевания территорий (Закупка товаров, работ и услуг для обеспечения государственных (муниципальных) нужд)</t>
  </si>
  <si>
    <t>Организация мероприятий по поддержке одаренных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</si>
  <si>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37 1 01 24000</t>
  </si>
  <si>
    <t>02 1 01 S1430</t>
  </si>
  <si>
    <t>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 искусства  до средней заработной платы в Ивановской области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</si>
  <si>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муниципальных образовательных организаций Ивановской области (Закупка товаров, работ и услуг для государственных (муниципальных) нужд)</t>
  </si>
  <si>
    <t>03 1 01 S1950</t>
  </si>
  <si>
    <t>03 1 01 88400</t>
  </si>
  <si>
    <t>Благоустройство территорий муниципальных дошкольных образовательных организаций Ивановской области (Закупка товаров, работ и услуг для обеспечения государственных (муниципальных) нужд)</t>
  </si>
  <si>
    <t>Финансовое обеспечение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РФ, в части централизованных источников водоснабжения (Закупка товаров, работ и услуг для обеспечения государственных (муниципальных) нужд)</t>
  </si>
  <si>
    <t>Расходы за счет средств от оказания платных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</si>
  <si>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03 1 01 01110</t>
  </si>
  <si>
    <t>Расходы за счет средств от оказания платных услуг (Закупка товаров, работ и услуг для обеспечения государственных (муниципальных) нужд)</t>
  </si>
  <si>
    <t>Расходы за счет средств от оказания платных услуг (Иные бюджетные ассигнования)</t>
  </si>
  <si>
    <t>03 1 02 01111</t>
  </si>
  <si>
    <t>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</si>
  <si>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муниципальных образовательных учреждений Ивановской области (Закупка товаров, работ и услуг для государственных (муниципальных) нужд)</t>
  </si>
  <si>
    <t>Осуществление отдельных государственных полномочий в сфере административных правонарушений (Закупка товаров, работ и услуг для обеспечения государственных (муниципальных) нужд)</t>
  </si>
  <si>
    <t xml:space="preserve">Приложение № 5
 к решению Совета Приволжского 
муниципального района от 22.12.2021 № 77                                                         
  «О бюджете Приволжского муниципального района  
на 2022 год и плановый период 2023 и 2024 годов»  
</t>
  </si>
  <si>
    <t>Решение Совета Приволжского муниципального района от 22.12.2021 № 77 "О бюджете Приволжского муниципального района на 2022 год и на плановый период 2023 и 2024 годов"</t>
  </si>
  <si>
    <t xml:space="preserve"> Выписка из решения Совета Приволжского муниципального района</t>
  </si>
  <si>
    <t>Глава Приволжского муниципального района                                                                             И.В. Мельникова</t>
  </si>
  <si>
    <t>Справочно:</t>
  </si>
  <si>
    <t>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предусмотрено:</t>
  </si>
  <si>
    <t>на 2023 год в сумме 2 363 531,65 руб. - субсидии (в том числе средства федерального бюджета - 2 339 660,00 руб., средства областного бюджета - 23 632,93 руб., средства местного бюджета - 238,72 руб.)</t>
  </si>
  <si>
    <t>на 2022 год в сумме 2 409 162,53 руб. - субсидии (в том числе средства федерального бюджета - 2 384 830,00 руб., средства областного бюджета - 24 089,20 руб., средства местного бюджета - 243,33 руб.)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</si>
  <si>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предусмотрено:</t>
  </si>
  <si>
    <t>на 2022 год в сумме 10 248 297,29 руб. - субсидии (в том числе средства федерального бюджета - 9 495 931,47 руб., средства областного бюджета - 714 747,53 руб., средства местного бюджета - 37 618,29 руб.)</t>
  </si>
  <si>
    <t>на 2023 год в сумме 10 658 294,26 руб. - субсидии (в том числе средства федерального бюджета - 9 875 829,03 руб., средства областного бюджета - 743 341,97 руб., средства местного бюджета - 39 123,26 руб.)</t>
  </si>
  <si>
    <t>на 2024 год в сумме 10 957 657,13 руб. - субсидии (в том числе средства федерального бюджета - 10 153 214,55 руб., средства областного бюджета - 764 220,45 руб., средства местного бюджета - 40 222,13 руб.)</t>
  </si>
  <si>
    <t>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предусмотрено:</t>
  </si>
  <si>
    <t>на 2022 год в сумме 1 568 904,26 руб. - субсидии (в том числе средства федерального бюджета - 1 553 058,33 руб., средства областного бюджета - 15 687,47 руб., средства местного бюджета - 158,46 руб.)</t>
  </si>
  <si>
    <t>На создание новых мест в образовательных организациях различных типов для реализации дополнительных общеразвивающих программ всех направленностей предусмотрено:</t>
  </si>
  <si>
    <t>на 2023 год в сумме 273 633,20 руб. - субсидии (в том числе средства федерального бюджета - 270 868,84 руб., средства областного бюджета - 2 736,36 руб., средства местного бюджета - 28,00 руб.)</t>
  </si>
  <si>
    <t>на 2024 год в сумме 272 943,40 руб. - субсидии (в том числе средства федерального бюджета - 270 186,12 руб., средства областного бюджета - 2 729,28 руб., средства местного бюджета - 28,00 руб.)</t>
  </si>
  <si>
    <t>На укрепление материально-технической базы муниципальных образовательных организаций Ивановской области предусмотрено:</t>
  </si>
  <si>
    <t>на 2022 год в сумме 31 578,96 руб. - субсидии (в том числе средства областного бюджета - 30 000,00 руб., средства местного бюджета - 1 578,96 руб.)</t>
  </si>
  <si>
    <t>На обеспечение образовательных организаций материально-технической базой для внедрения цифровой образовательной среды предусмотрено:</t>
  </si>
  <si>
    <t>на 2022 год в сумме 1 584 567,51 руб. - субсидии (в том числе средства федерального бюджета - 1 568 563,33 руб., средства областного бюджета - 15 844,08руб., средства местного бюджета - 160,10 руб.)</t>
  </si>
  <si>
    <t>на 2023 год в сумме 4 691 502,60 руб. - субсидии (в том числе средства федерального бюджета - 4 644 118,32руб., средства областного бюджета - 46 910,28 руб., средства местного бюджета - 474,00 руб.)</t>
  </si>
  <si>
    <t>на 2022 год в сумме 989 520,00 руб. - субсидии (в том числе средства областного бюджета - 651 000,00 руб., средства местного бюджета - 338 520,00 руб.)</t>
  </si>
  <si>
    <t>на 2024 год в сумме 989 520,00 руб. - субсидии (в том числе средства областного бюджета - 651 000,00 руб., средства местного бюджета - 338 520,00 руб.)</t>
  </si>
  <si>
    <t>на 2023 год в сумме 989 520,00 руб. - субсидии (в том числе средства областного бюджета - 651 000,00 руб., средства местного бюджета - 338 520,00 руб.)</t>
  </si>
  <si>
    <t>На расходы по организации отдыха детей в каникулярное время в части организации двухразового питания в лагерях дневного пребывания предусмотрено:</t>
  </si>
  <si>
    <t>Обеспечение прочих обязательств администрации (Иные бюджетные ассигнования)</t>
  </si>
  <si>
    <t>(в редакции решения Совета от 27.01.2022 №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</si>
</sst>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Arial"/>
      <family val="2"/>
      <charset val="204"/>
    </font>
    <font>
      <b/>
      <sz val="2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6" fillId="0" borderId="0">
      <alignment horizontal="left" wrapText="1"/>
    </xf>
  </cellStyleXfs>
  <cellXfs count="90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/>
    <xf numFmtId="0" fontId="8" fillId="2" borderId="5" xfId="0" applyFont="1" applyFill="1" applyBorder="1" applyAlignment="1">
      <alignment horizontal="justify" vertical="top" wrapText="1"/>
    </xf>
    <xf numFmtId="4" fontId="10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right"/>
    </xf>
    <xf numFmtId="4" fontId="8" fillId="2" borderId="5" xfId="0" applyNumberFormat="1" applyFont="1" applyFill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2" fillId="4" borderId="5" xfId="0" applyNumberFormat="1" applyFont="1" applyFill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9" fontId="2" fillId="0" borderId="6" xfId="0" applyNumberFormat="1" applyFont="1" applyFill="1" applyBorder="1" applyAlignment="1">
      <alignment horizontal="right"/>
    </xf>
    <xf numFmtId="4" fontId="2" fillId="4" borderId="6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right"/>
    </xf>
    <xf numFmtId="49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49" fontId="8" fillId="2" borderId="5" xfId="0" applyNumberFormat="1" applyFont="1" applyFill="1" applyBorder="1" applyAlignment="1">
      <alignment horizontal="right"/>
    </xf>
    <xf numFmtId="49" fontId="12" fillId="0" borderId="6" xfId="0" applyNumberFormat="1" applyFont="1" applyFill="1" applyBorder="1" applyAlignment="1">
      <alignment horizontal="right"/>
    </xf>
    <xf numFmtId="4" fontId="12" fillId="4" borderId="6" xfId="0" applyNumberFormat="1" applyFont="1" applyFill="1" applyBorder="1" applyAlignment="1">
      <alignment horizontal="right"/>
    </xf>
    <xf numFmtId="49" fontId="12" fillId="0" borderId="5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49" fontId="8" fillId="3" borderId="5" xfId="0" applyNumberFormat="1" applyFont="1" applyFill="1" applyBorder="1" applyAlignment="1">
      <alignment horizontal="right" wrapText="1"/>
    </xf>
    <xf numFmtId="4" fontId="8" fillId="2" borderId="5" xfId="0" applyNumberFormat="1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4" fontId="2" fillId="0" borderId="5" xfId="0" applyNumberFormat="1" applyFont="1" applyFill="1" applyBorder="1" applyAlignment="1">
      <alignment horizontal="right" wrapText="1"/>
    </xf>
    <xf numFmtId="49" fontId="2" fillId="0" borderId="5" xfId="0" applyNumberFormat="1" applyFont="1" applyFill="1" applyBorder="1" applyAlignment="1">
      <alignment horizontal="right" wrapText="1"/>
    </xf>
    <xf numFmtId="49" fontId="2" fillId="0" borderId="6" xfId="0" applyNumberFormat="1" applyFont="1" applyFill="1" applyBorder="1" applyAlignment="1">
      <alignment horizontal="right" wrapText="1"/>
    </xf>
    <xf numFmtId="4" fontId="2" fillId="0" borderId="6" xfId="0" applyNumberFormat="1" applyFont="1" applyFill="1" applyBorder="1" applyAlignment="1">
      <alignment horizontal="right" wrapText="1"/>
    </xf>
    <xf numFmtId="49" fontId="2" fillId="0" borderId="8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horizontal="right" wrapText="1"/>
    </xf>
    <xf numFmtId="49" fontId="2" fillId="0" borderId="8" xfId="0" applyNumberFormat="1" applyFont="1" applyFill="1" applyBorder="1" applyAlignment="1">
      <alignment horizontal="right"/>
    </xf>
    <xf numFmtId="4" fontId="12" fillId="0" borderId="6" xfId="0" applyNumberFormat="1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1" fillId="0" borderId="2" xfId="0" applyFont="1" applyBorder="1" applyAlignment="1">
      <alignment horizontal="right" wrapText="1"/>
    </xf>
    <xf numFmtId="0" fontId="16" fillId="0" borderId="0" xfId="0" applyFont="1" applyFill="1" applyAlignment="1">
      <alignment horizontal="justify" vertical="top" wrapText="1"/>
    </xf>
    <xf numFmtId="0" fontId="16" fillId="0" borderId="0" xfId="0" applyFont="1" applyAlignme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8" fillId="0" borderId="0" xfId="0" applyFont="1" applyBorder="1" applyAlignment="1">
      <alignment horizontal="center" wrapText="1"/>
    </xf>
  </cellXfs>
  <cellStyles count="4">
    <cellStyle name="xl30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6"/>
  <sheetViews>
    <sheetView zoomScale="70" zoomScaleNormal="70" workbookViewId="0">
      <selection activeCell="A2" sqref="A2:H2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92.25" customHeight="1" x14ac:dyDescent="0.25">
      <c r="A1" s="1"/>
      <c r="B1" s="2"/>
      <c r="C1" s="2"/>
      <c r="D1" s="3"/>
      <c r="E1" s="2"/>
      <c r="F1" s="73" t="s">
        <v>274</v>
      </c>
      <c r="G1" s="74"/>
      <c r="H1" s="74"/>
    </row>
    <row r="2" spans="1:14" ht="36" customHeight="1" x14ac:dyDescent="0.3">
      <c r="A2" s="75" t="s">
        <v>248</v>
      </c>
      <c r="B2" s="76"/>
      <c r="C2" s="76"/>
      <c r="D2" s="76"/>
      <c r="E2" s="76"/>
      <c r="F2" s="76"/>
      <c r="G2" s="76"/>
      <c r="H2" s="76"/>
    </row>
    <row r="3" spans="1:14" ht="25.5" customHeight="1" x14ac:dyDescent="0.25">
      <c r="A3" s="4"/>
      <c r="B3" s="5"/>
      <c r="C3" s="5"/>
      <c r="D3" s="5"/>
      <c r="E3" s="5"/>
      <c r="F3" s="5"/>
      <c r="G3" s="77" t="s">
        <v>0</v>
      </c>
      <c r="H3" s="77"/>
      <c r="I3" s="6"/>
    </row>
    <row r="4" spans="1:14" ht="31.5" x14ac:dyDescent="0.25">
      <c r="A4" s="12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13" t="s">
        <v>6</v>
      </c>
      <c r="G4" s="14" t="s">
        <v>7</v>
      </c>
      <c r="H4" s="14" t="s">
        <v>247</v>
      </c>
    </row>
    <row r="5" spans="1:14" ht="31.5" x14ac:dyDescent="0.25">
      <c r="A5" s="47" t="s">
        <v>8</v>
      </c>
      <c r="B5" s="15" t="s">
        <v>9</v>
      </c>
      <c r="C5" s="15"/>
      <c r="D5" s="15"/>
      <c r="E5" s="15"/>
      <c r="F5" s="16">
        <f>SUM(F6:F65)</f>
        <v>322372213.90999991</v>
      </c>
      <c r="G5" s="16">
        <f t="shared" ref="G5:H5" si="0">SUM(G6:G65)</f>
        <v>284394596.47999996</v>
      </c>
      <c r="H5" s="16">
        <f t="shared" si="0"/>
        <v>261154607.25</v>
      </c>
      <c r="L5" s="11"/>
      <c r="M5" s="11"/>
      <c r="N5" s="11"/>
    </row>
    <row r="6" spans="1:14" ht="63" x14ac:dyDescent="0.25">
      <c r="A6" s="48" t="s">
        <v>266</v>
      </c>
      <c r="B6" s="17" t="s">
        <v>9</v>
      </c>
      <c r="C6" s="17" t="s">
        <v>11</v>
      </c>
      <c r="D6" s="17" t="s">
        <v>267</v>
      </c>
      <c r="E6" s="17" t="s">
        <v>13</v>
      </c>
      <c r="F6" s="18">
        <f>1259382+146018+380333.88</f>
        <v>1785733.88</v>
      </c>
      <c r="G6" s="18">
        <f>1259382+153118+380333.4</f>
        <v>1792833.4</v>
      </c>
      <c r="H6" s="18">
        <f>1259242+161618+380333.4</f>
        <v>1801193.4</v>
      </c>
    </row>
    <row r="7" spans="1:14" ht="31.5" x14ac:dyDescent="0.25">
      <c r="A7" s="48" t="s">
        <v>268</v>
      </c>
      <c r="B7" s="17" t="s">
        <v>9</v>
      </c>
      <c r="C7" s="17" t="s">
        <v>11</v>
      </c>
      <c r="D7" s="17" t="s">
        <v>267</v>
      </c>
      <c r="E7" s="17" t="s">
        <v>15</v>
      </c>
      <c r="F7" s="19">
        <f>15550456.12+130000</f>
        <v>15680456.119999999</v>
      </c>
      <c r="G7" s="18">
        <f>15546931.6+130000</f>
        <v>15676931.6</v>
      </c>
      <c r="H7" s="18">
        <f>15561171.6+130000</f>
        <v>15691171.6</v>
      </c>
    </row>
    <row r="8" spans="1:14" ht="15.75" x14ac:dyDescent="0.25">
      <c r="A8" s="48" t="s">
        <v>269</v>
      </c>
      <c r="B8" s="17" t="s">
        <v>9</v>
      </c>
      <c r="C8" s="17" t="s">
        <v>11</v>
      </c>
      <c r="D8" s="17" t="s">
        <v>267</v>
      </c>
      <c r="E8" s="17" t="s">
        <v>17</v>
      </c>
      <c r="F8" s="18">
        <f>135300</f>
        <v>135300</v>
      </c>
      <c r="G8" s="20">
        <f>135100</f>
        <v>135100</v>
      </c>
      <c r="H8" s="20">
        <f>135100</f>
        <v>135100</v>
      </c>
    </row>
    <row r="9" spans="1:14" ht="63" x14ac:dyDescent="0.25">
      <c r="A9" s="48" t="s">
        <v>10</v>
      </c>
      <c r="B9" s="17" t="s">
        <v>9</v>
      </c>
      <c r="C9" s="17" t="s">
        <v>11</v>
      </c>
      <c r="D9" s="17" t="s">
        <v>12</v>
      </c>
      <c r="E9" s="17" t="s">
        <v>13</v>
      </c>
      <c r="F9" s="18">
        <f>24762988.7+94952+7264106.48</f>
        <v>32122047.18</v>
      </c>
      <c r="G9" s="20">
        <f>23641830.26+91352+7129121.79</f>
        <v>30862304.050000001</v>
      </c>
      <c r="H9" s="20">
        <f>23641270.26+99812+7129121.79</f>
        <v>30870204.050000001</v>
      </c>
    </row>
    <row r="10" spans="1:14" ht="47.25" x14ac:dyDescent="0.25">
      <c r="A10" s="48" t="s">
        <v>14</v>
      </c>
      <c r="B10" s="21" t="s">
        <v>9</v>
      </c>
      <c r="C10" s="21" t="s">
        <v>11</v>
      </c>
      <c r="D10" s="21" t="s">
        <v>12</v>
      </c>
      <c r="E10" s="21" t="s">
        <v>15</v>
      </c>
      <c r="F10" s="19">
        <f>16543319.52+14953835.73</f>
        <v>31497155.25</v>
      </c>
      <c r="G10" s="18">
        <f>5319784.08+16978205.85</f>
        <v>22297989.93</v>
      </c>
      <c r="H10" s="18">
        <f>9887479.51</f>
        <v>9887479.5099999998</v>
      </c>
    </row>
    <row r="11" spans="1:14" ht="31.5" x14ac:dyDescent="0.25">
      <c r="A11" s="48" t="s">
        <v>16</v>
      </c>
      <c r="B11" s="21" t="s">
        <v>9</v>
      </c>
      <c r="C11" s="21" t="s">
        <v>11</v>
      </c>
      <c r="D11" s="21" t="s">
        <v>12</v>
      </c>
      <c r="E11" s="21" t="s">
        <v>17</v>
      </c>
      <c r="F11" s="22">
        <f>339095+11000</f>
        <v>350095</v>
      </c>
      <c r="G11" s="22">
        <f>339795+11000</f>
        <v>350795</v>
      </c>
      <c r="H11" s="22">
        <f>340295+11000</f>
        <v>351295</v>
      </c>
    </row>
    <row r="12" spans="1:14" ht="126" x14ac:dyDescent="0.25">
      <c r="A12" s="48" t="s">
        <v>229</v>
      </c>
      <c r="B12" s="17" t="s">
        <v>9</v>
      </c>
      <c r="C12" s="17" t="s">
        <v>11</v>
      </c>
      <c r="D12" s="17" t="s">
        <v>18</v>
      </c>
      <c r="E12" s="17" t="s">
        <v>13</v>
      </c>
      <c r="F12" s="37">
        <v>58090603</v>
      </c>
      <c r="G12" s="37">
        <v>57865776</v>
      </c>
      <c r="H12" s="37">
        <f>44443760.37+13422015.63</f>
        <v>57865776</v>
      </c>
    </row>
    <row r="13" spans="1:14" ht="94.5" x14ac:dyDescent="0.25">
      <c r="A13" s="48" t="s">
        <v>230</v>
      </c>
      <c r="B13" s="17" t="s">
        <v>9</v>
      </c>
      <c r="C13" s="17" t="s">
        <v>11</v>
      </c>
      <c r="D13" s="17" t="s">
        <v>18</v>
      </c>
      <c r="E13" s="17" t="s">
        <v>15</v>
      </c>
      <c r="F13" s="37">
        <v>391254</v>
      </c>
      <c r="G13" s="37">
        <v>494100</v>
      </c>
      <c r="H13" s="37">
        <v>494100</v>
      </c>
    </row>
    <row r="14" spans="1:14" ht="47.25" x14ac:dyDescent="0.25">
      <c r="A14" s="48" t="s">
        <v>264</v>
      </c>
      <c r="B14" s="17" t="s">
        <v>9</v>
      </c>
      <c r="C14" s="17" t="s">
        <v>11</v>
      </c>
      <c r="D14" s="17" t="s">
        <v>263</v>
      </c>
      <c r="E14" s="17" t="s">
        <v>15</v>
      </c>
      <c r="F14" s="37">
        <v>6331074.5800000001</v>
      </c>
      <c r="G14" s="37">
        <v>0</v>
      </c>
      <c r="H14" s="37">
        <v>0</v>
      </c>
    </row>
    <row r="15" spans="1:14" ht="47.25" x14ac:dyDescent="0.25">
      <c r="A15" s="49" t="s">
        <v>261</v>
      </c>
      <c r="B15" s="23" t="s">
        <v>9</v>
      </c>
      <c r="C15" s="23" t="s">
        <v>11</v>
      </c>
      <c r="D15" s="23" t="s">
        <v>262</v>
      </c>
      <c r="E15" s="23" t="s">
        <v>15</v>
      </c>
      <c r="F15" s="18">
        <f>15000+789.48</f>
        <v>15789.48</v>
      </c>
      <c r="G15" s="18">
        <v>0</v>
      </c>
      <c r="H15" s="18">
        <v>0</v>
      </c>
    </row>
    <row r="16" spans="1:14" ht="126" x14ac:dyDescent="0.25">
      <c r="A16" s="50" t="s">
        <v>19</v>
      </c>
      <c r="B16" s="17" t="s">
        <v>9</v>
      </c>
      <c r="C16" s="17" t="s">
        <v>11</v>
      </c>
      <c r="D16" s="17" t="s">
        <v>20</v>
      </c>
      <c r="E16" s="17" t="s">
        <v>13</v>
      </c>
      <c r="F16" s="37">
        <v>182280</v>
      </c>
      <c r="G16" s="37">
        <v>171864</v>
      </c>
      <c r="H16" s="37">
        <v>171864</v>
      </c>
    </row>
    <row r="17" spans="1:8" ht="110.25" x14ac:dyDescent="0.25">
      <c r="A17" s="50" t="s">
        <v>21</v>
      </c>
      <c r="B17" s="17" t="s">
        <v>9</v>
      </c>
      <c r="C17" s="17" t="s">
        <v>11</v>
      </c>
      <c r="D17" s="17" t="s">
        <v>20</v>
      </c>
      <c r="E17" s="17" t="s">
        <v>15</v>
      </c>
      <c r="F17" s="37">
        <v>389827</v>
      </c>
      <c r="G17" s="37">
        <v>390515</v>
      </c>
      <c r="H17" s="37">
        <v>390515</v>
      </c>
    </row>
    <row r="18" spans="1:8" ht="31.5" x14ac:dyDescent="0.25">
      <c r="A18" s="51" t="s">
        <v>22</v>
      </c>
      <c r="B18" s="23" t="s">
        <v>9</v>
      </c>
      <c r="C18" s="23" t="s">
        <v>11</v>
      </c>
      <c r="D18" s="23" t="s">
        <v>23</v>
      </c>
      <c r="E18" s="23" t="s">
        <v>15</v>
      </c>
      <c r="F18" s="18">
        <f>5288199.46-5288199.46+1308099.46</f>
        <v>1308099.46</v>
      </c>
      <c r="G18" s="18">
        <f>1392524.75-1392524.75</f>
        <v>0</v>
      </c>
      <c r="H18" s="18">
        <f>1362604.12-1362604.12</f>
        <v>0</v>
      </c>
    </row>
    <row r="19" spans="1:8" ht="31.5" x14ac:dyDescent="0.25">
      <c r="A19" s="52" t="s">
        <v>26</v>
      </c>
      <c r="B19" s="23" t="s">
        <v>9</v>
      </c>
      <c r="C19" s="23" t="s">
        <v>11</v>
      </c>
      <c r="D19" s="23" t="s">
        <v>27</v>
      </c>
      <c r="E19" s="23" t="s">
        <v>15</v>
      </c>
      <c r="F19" s="18">
        <f>281000-231000</f>
        <v>50000</v>
      </c>
      <c r="G19" s="18">
        <v>450000</v>
      </c>
      <c r="H19" s="18">
        <v>0</v>
      </c>
    </row>
    <row r="20" spans="1:8" ht="31.5" x14ac:dyDescent="0.25">
      <c r="A20" s="52" t="s">
        <v>28</v>
      </c>
      <c r="B20" s="23" t="s">
        <v>9</v>
      </c>
      <c r="C20" s="23" t="s">
        <v>11</v>
      </c>
      <c r="D20" s="23" t="s">
        <v>29</v>
      </c>
      <c r="E20" s="23" t="s">
        <v>15</v>
      </c>
      <c r="F20" s="18">
        <f>1200696.5-265300</f>
        <v>935396.5</v>
      </c>
      <c r="G20" s="18">
        <v>989899</v>
      </c>
      <c r="H20" s="18">
        <v>999379</v>
      </c>
    </row>
    <row r="21" spans="1:8" ht="63" x14ac:dyDescent="0.25">
      <c r="A21" s="48" t="s">
        <v>266</v>
      </c>
      <c r="B21" s="17" t="s">
        <v>9</v>
      </c>
      <c r="C21" s="17" t="s">
        <v>30</v>
      </c>
      <c r="D21" s="17" t="s">
        <v>270</v>
      </c>
      <c r="E21" s="17" t="s">
        <v>13</v>
      </c>
      <c r="F21" s="18">
        <f>66657.33+20130.11</f>
        <v>86787.44</v>
      </c>
      <c r="G21" s="18">
        <f>66657.33+20130.11</f>
        <v>86787.44</v>
      </c>
      <c r="H21" s="18">
        <f>66657.33+20130.11</f>
        <v>86787.44</v>
      </c>
    </row>
    <row r="22" spans="1:8" ht="31.5" x14ac:dyDescent="0.25">
      <c r="A22" s="48" t="s">
        <v>268</v>
      </c>
      <c r="B22" s="17" t="s">
        <v>9</v>
      </c>
      <c r="C22" s="17" t="s">
        <v>30</v>
      </c>
      <c r="D22" s="17" t="s">
        <v>270</v>
      </c>
      <c r="E22" s="17" t="s">
        <v>15</v>
      </c>
      <c r="F22" s="18">
        <f>1481752.56</f>
        <v>1481752.56</v>
      </c>
      <c r="G22" s="18">
        <f>1451507.56</f>
        <v>1451507.56</v>
      </c>
      <c r="H22" s="18">
        <f>1451507.56</f>
        <v>1451507.56</v>
      </c>
    </row>
    <row r="23" spans="1:8" ht="63" x14ac:dyDescent="0.25">
      <c r="A23" s="52" t="s">
        <v>31</v>
      </c>
      <c r="B23" s="23" t="s">
        <v>9</v>
      </c>
      <c r="C23" s="23" t="s">
        <v>30</v>
      </c>
      <c r="D23" s="23" t="s">
        <v>32</v>
      </c>
      <c r="E23" s="23" t="s">
        <v>13</v>
      </c>
      <c r="F23" s="18">
        <f>8132868.21+103096+2456126.2</f>
        <v>10692090.41</v>
      </c>
      <c r="G23" s="18">
        <f>7938848.94+82106.43+2397533.35</f>
        <v>10418488.720000001</v>
      </c>
      <c r="H23" s="18">
        <f>7938848.94+116404+2372943.78</f>
        <v>10428196.720000001</v>
      </c>
    </row>
    <row r="24" spans="1:8" ht="47.25" x14ac:dyDescent="0.25">
      <c r="A24" s="52" t="s">
        <v>33</v>
      </c>
      <c r="B24" s="23" t="s">
        <v>9</v>
      </c>
      <c r="C24" s="23" t="s">
        <v>30</v>
      </c>
      <c r="D24" s="23" t="s">
        <v>32</v>
      </c>
      <c r="E24" s="23" t="s">
        <v>15</v>
      </c>
      <c r="F24" s="18">
        <f>7738318.49+14103473.28</f>
        <v>21841791.77</v>
      </c>
      <c r="G24" s="18">
        <f>8058311.53</f>
        <v>8058311.5300000003</v>
      </c>
      <c r="H24" s="18">
        <f>4621399.9</f>
        <v>4621399.9000000004</v>
      </c>
    </row>
    <row r="25" spans="1:8" ht="31.5" x14ac:dyDescent="0.25">
      <c r="A25" s="53" t="s">
        <v>34</v>
      </c>
      <c r="B25" s="24" t="s">
        <v>9</v>
      </c>
      <c r="C25" s="24" t="s">
        <v>30</v>
      </c>
      <c r="D25" s="24" t="s">
        <v>32</v>
      </c>
      <c r="E25" s="24" t="s">
        <v>17</v>
      </c>
      <c r="F25" s="18">
        <v>726958.82</v>
      </c>
      <c r="G25" s="18">
        <f>723801.82</f>
        <v>723801.82</v>
      </c>
      <c r="H25" s="18">
        <f>720651.82</f>
        <v>720651.82</v>
      </c>
    </row>
    <row r="26" spans="1:8" ht="110.25" x14ac:dyDescent="0.25">
      <c r="A26" s="48" t="s">
        <v>236</v>
      </c>
      <c r="B26" s="24" t="s">
        <v>9</v>
      </c>
      <c r="C26" s="24" t="s">
        <v>30</v>
      </c>
      <c r="D26" s="24" t="s">
        <v>35</v>
      </c>
      <c r="E26" s="24" t="s">
        <v>13</v>
      </c>
      <c r="F26" s="18">
        <v>7343280</v>
      </c>
      <c r="G26" s="18">
        <v>7343280</v>
      </c>
      <c r="H26" s="18">
        <v>7265160</v>
      </c>
    </row>
    <row r="27" spans="1:8" ht="157.5" x14ac:dyDescent="0.25">
      <c r="A27" s="49" t="s">
        <v>237</v>
      </c>
      <c r="B27" s="24" t="s">
        <v>9</v>
      </c>
      <c r="C27" s="24" t="s">
        <v>30</v>
      </c>
      <c r="D27" s="24" t="s">
        <v>36</v>
      </c>
      <c r="E27" s="24" t="s">
        <v>13</v>
      </c>
      <c r="F27" s="18">
        <v>68692613.5</v>
      </c>
      <c r="G27" s="18">
        <f>47619322.58+14381035.42</f>
        <v>62000358</v>
      </c>
      <c r="H27" s="18">
        <f>47619322.58+14381035.42</f>
        <v>62000358</v>
      </c>
    </row>
    <row r="28" spans="1:8" ht="126" x14ac:dyDescent="0.25">
      <c r="A28" s="49" t="s">
        <v>238</v>
      </c>
      <c r="B28" s="24" t="s">
        <v>9</v>
      </c>
      <c r="C28" s="24" t="s">
        <v>30</v>
      </c>
      <c r="D28" s="24" t="s">
        <v>36</v>
      </c>
      <c r="E28" s="24" t="s">
        <v>15</v>
      </c>
      <c r="F28" s="18">
        <v>2098694</v>
      </c>
      <c r="G28" s="18">
        <v>2036580</v>
      </c>
      <c r="H28" s="18">
        <v>2036580</v>
      </c>
    </row>
    <row r="29" spans="1:8" ht="126" x14ac:dyDescent="0.25">
      <c r="A29" s="54" t="s">
        <v>37</v>
      </c>
      <c r="B29" s="25" t="s">
        <v>9</v>
      </c>
      <c r="C29" s="25" t="s">
        <v>30</v>
      </c>
      <c r="D29" s="25" t="s">
        <v>38</v>
      </c>
      <c r="E29" s="25" t="s">
        <v>39</v>
      </c>
      <c r="F29" s="27">
        <v>1733573.5</v>
      </c>
      <c r="G29" s="27">
        <v>1399877</v>
      </c>
      <c r="H29" s="27">
        <v>1399877</v>
      </c>
    </row>
    <row r="30" spans="1:8" ht="95.25" customHeight="1" x14ac:dyDescent="0.25">
      <c r="A30" s="48" t="s">
        <v>239</v>
      </c>
      <c r="B30" s="26" t="s">
        <v>9</v>
      </c>
      <c r="C30" s="26" t="s">
        <v>30</v>
      </c>
      <c r="D30" s="26" t="s">
        <v>40</v>
      </c>
      <c r="E30" s="26" t="s">
        <v>15</v>
      </c>
      <c r="F30" s="27">
        <f>10210679+37618.29</f>
        <v>10248297.289999999</v>
      </c>
      <c r="G30" s="27">
        <f>10619171+39123.26</f>
        <v>10658294.26</v>
      </c>
      <c r="H30" s="27">
        <f>10917435+40222.13</f>
        <v>10957657.130000001</v>
      </c>
    </row>
    <row r="31" spans="1:8" ht="47.25" x14ac:dyDescent="0.25">
      <c r="A31" s="48" t="s">
        <v>272</v>
      </c>
      <c r="B31" s="26" t="s">
        <v>9</v>
      </c>
      <c r="C31" s="26" t="s">
        <v>30</v>
      </c>
      <c r="D31" s="26" t="s">
        <v>41</v>
      </c>
      <c r="E31" s="26" t="s">
        <v>15</v>
      </c>
      <c r="F31" s="27">
        <f>15000+789.48+14210.58</f>
        <v>30000.059999999998</v>
      </c>
      <c r="G31" s="27">
        <v>0</v>
      </c>
      <c r="H31" s="27">
        <v>0</v>
      </c>
    </row>
    <row r="32" spans="1:8" ht="31.5" x14ac:dyDescent="0.25">
      <c r="A32" s="55" t="s">
        <v>22</v>
      </c>
      <c r="B32" s="24" t="s">
        <v>9</v>
      </c>
      <c r="C32" s="24" t="s">
        <v>30</v>
      </c>
      <c r="D32" s="24" t="s">
        <v>23</v>
      </c>
      <c r="E32" s="24" t="s">
        <v>15</v>
      </c>
      <c r="F32" s="18">
        <f>8846624.26-8846624.26+976159.26</f>
        <v>976159.26</v>
      </c>
      <c r="G32" s="18">
        <f>2715891.76-2715891.76</f>
        <v>0</v>
      </c>
      <c r="H32" s="18">
        <f>2880064.06-2880064.06</f>
        <v>0</v>
      </c>
    </row>
    <row r="33" spans="1:8" ht="63" x14ac:dyDescent="0.25">
      <c r="A33" s="56" t="s">
        <v>228</v>
      </c>
      <c r="B33" s="26" t="s">
        <v>9</v>
      </c>
      <c r="C33" s="26" t="s">
        <v>30</v>
      </c>
      <c r="D33" s="26" t="s">
        <v>223</v>
      </c>
      <c r="E33" s="26" t="s">
        <v>15</v>
      </c>
      <c r="F33" s="27">
        <f>1568745.8+158.46</f>
        <v>1568904.26</v>
      </c>
      <c r="G33" s="27">
        <v>0</v>
      </c>
      <c r="H33" s="27">
        <v>0</v>
      </c>
    </row>
    <row r="34" spans="1:8" ht="47.25" x14ac:dyDescent="0.25">
      <c r="A34" s="56" t="s">
        <v>226</v>
      </c>
      <c r="B34" s="26" t="s">
        <v>9</v>
      </c>
      <c r="C34" s="26" t="s">
        <v>30</v>
      </c>
      <c r="D34" s="26" t="s">
        <v>224</v>
      </c>
      <c r="E34" s="26" t="s">
        <v>15</v>
      </c>
      <c r="F34" s="27">
        <f>2408919.2+243.33</f>
        <v>2409162.5300000003</v>
      </c>
      <c r="G34" s="27">
        <f>2363292.93+238.72</f>
        <v>2363531.6500000004</v>
      </c>
      <c r="H34" s="27">
        <v>0</v>
      </c>
    </row>
    <row r="35" spans="1:8" ht="31.5" x14ac:dyDescent="0.25">
      <c r="A35" s="57" t="s">
        <v>44</v>
      </c>
      <c r="B35" s="25" t="s">
        <v>9</v>
      </c>
      <c r="C35" s="25" t="s">
        <v>30</v>
      </c>
      <c r="D35" s="25" t="s">
        <v>45</v>
      </c>
      <c r="E35" s="25" t="s">
        <v>15</v>
      </c>
      <c r="F35" s="27">
        <v>34000</v>
      </c>
      <c r="G35" s="27">
        <v>37000</v>
      </c>
      <c r="H35" s="27">
        <v>40000</v>
      </c>
    </row>
    <row r="36" spans="1:8" ht="31.5" x14ac:dyDescent="0.25">
      <c r="A36" s="58" t="s">
        <v>28</v>
      </c>
      <c r="B36" s="26" t="s">
        <v>9</v>
      </c>
      <c r="C36" s="26" t="s">
        <v>30</v>
      </c>
      <c r="D36" s="26" t="s">
        <v>29</v>
      </c>
      <c r="E36" s="26" t="s">
        <v>15</v>
      </c>
      <c r="F36" s="27">
        <f>1102142-210100</f>
        <v>892042</v>
      </c>
      <c r="G36" s="27">
        <v>917236</v>
      </c>
      <c r="H36" s="27">
        <v>873384</v>
      </c>
    </row>
    <row r="37" spans="1:8" ht="63" x14ac:dyDescent="0.25">
      <c r="A37" s="58" t="s">
        <v>46</v>
      </c>
      <c r="B37" s="26" t="s">
        <v>9</v>
      </c>
      <c r="C37" s="26" t="s">
        <v>47</v>
      </c>
      <c r="D37" s="26" t="s">
        <v>48</v>
      </c>
      <c r="E37" s="26" t="s">
        <v>13</v>
      </c>
      <c r="F37" s="27">
        <f>7430433.57+10350+2238554.94</f>
        <v>9679338.5099999998</v>
      </c>
      <c r="G37" s="27">
        <f>8392427.21+10350+2529000.73</f>
        <v>10931777.940000001</v>
      </c>
      <c r="H37" s="27">
        <f>8392427.21+10350+2529000.73</f>
        <v>10931777.940000001</v>
      </c>
    </row>
    <row r="38" spans="1:8" ht="47.25" x14ac:dyDescent="0.25">
      <c r="A38" s="58" t="s">
        <v>49</v>
      </c>
      <c r="B38" s="26" t="s">
        <v>9</v>
      </c>
      <c r="C38" s="26" t="s">
        <v>47</v>
      </c>
      <c r="D38" s="26" t="s">
        <v>48</v>
      </c>
      <c r="E38" s="26" t="s">
        <v>15</v>
      </c>
      <c r="F38" s="27">
        <f>1239247.22+219242.62</f>
        <v>1458489.8399999999</v>
      </c>
      <c r="G38" s="27">
        <f>1001238.28+201265.58</f>
        <v>1202503.8600000001</v>
      </c>
      <c r="H38" s="27">
        <f>201265.58+852662.28</f>
        <v>1053927.8600000001</v>
      </c>
    </row>
    <row r="39" spans="1:8" ht="31.5" x14ac:dyDescent="0.25">
      <c r="A39" s="57" t="s">
        <v>50</v>
      </c>
      <c r="B39" s="25" t="s">
        <v>9</v>
      </c>
      <c r="C39" s="25" t="s">
        <v>47</v>
      </c>
      <c r="D39" s="25" t="s">
        <v>48</v>
      </c>
      <c r="E39" s="25" t="s">
        <v>17</v>
      </c>
      <c r="F39" s="27">
        <f>250</f>
        <v>250</v>
      </c>
      <c r="G39" s="27">
        <f>1250</f>
        <v>1250</v>
      </c>
      <c r="H39" s="27">
        <f>1250</f>
        <v>1250</v>
      </c>
    </row>
    <row r="40" spans="1:8" ht="94.5" x14ac:dyDescent="0.25">
      <c r="A40" s="57" t="s">
        <v>51</v>
      </c>
      <c r="B40" s="25" t="s">
        <v>9</v>
      </c>
      <c r="C40" s="25" t="s">
        <v>47</v>
      </c>
      <c r="D40" s="25" t="s">
        <v>52</v>
      </c>
      <c r="E40" s="25" t="s">
        <v>13</v>
      </c>
      <c r="F40" s="27">
        <f>357498.9+107964.66</f>
        <v>465463.56000000006</v>
      </c>
      <c r="G40" s="27">
        <v>0</v>
      </c>
      <c r="H40" s="27">
        <v>0</v>
      </c>
    </row>
    <row r="41" spans="1:8" ht="94.5" x14ac:dyDescent="0.25">
      <c r="A41" s="57" t="s">
        <v>53</v>
      </c>
      <c r="B41" s="25" t="s">
        <v>9</v>
      </c>
      <c r="C41" s="25" t="s">
        <v>47</v>
      </c>
      <c r="D41" s="25" t="s">
        <v>54</v>
      </c>
      <c r="E41" s="25" t="s">
        <v>13</v>
      </c>
      <c r="F41" s="27">
        <f>112894.38+34094.11</f>
        <v>146988.49</v>
      </c>
      <c r="G41" s="27">
        <v>0</v>
      </c>
      <c r="H41" s="27">
        <v>0</v>
      </c>
    </row>
    <row r="42" spans="1:8" ht="94.5" x14ac:dyDescent="0.25">
      <c r="A42" s="57" t="s">
        <v>55</v>
      </c>
      <c r="B42" s="25" t="s">
        <v>9</v>
      </c>
      <c r="C42" s="25" t="s">
        <v>47</v>
      </c>
      <c r="D42" s="25" t="s">
        <v>56</v>
      </c>
      <c r="E42" s="25" t="s">
        <v>13</v>
      </c>
      <c r="F42" s="27">
        <v>544725.4</v>
      </c>
      <c r="G42" s="27">
        <v>0</v>
      </c>
      <c r="H42" s="27">
        <v>0</v>
      </c>
    </row>
    <row r="43" spans="1:8" ht="94.5" x14ac:dyDescent="0.25">
      <c r="A43" s="57" t="s">
        <v>57</v>
      </c>
      <c r="B43" s="25" t="s">
        <v>9</v>
      </c>
      <c r="C43" s="25" t="s">
        <v>47</v>
      </c>
      <c r="D43" s="25" t="s">
        <v>58</v>
      </c>
      <c r="E43" s="25" t="s">
        <v>13</v>
      </c>
      <c r="F43" s="27">
        <v>28669.759999999998</v>
      </c>
      <c r="G43" s="27">
        <v>0</v>
      </c>
      <c r="H43" s="27">
        <v>0</v>
      </c>
    </row>
    <row r="44" spans="1:8" ht="31.5" x14ac:dyDescent="0.25">
      <c r="A44" s="58" t="s">
        <v>22</v>
      </c>
      <c r="B44" s="26" t="s">
        <v>9</v>
      </c>
      <c r="C44" s="26" t="s">
        <v>47</v>
      </c>
      <c r="D44" s="26" t="s">
        <v>23</v>
      </c>
      <c r="E44" s="26" t="s">
        <v>15</v>
      </c>
      <c r="F44" s="27">
        <f>269143-43482.6-155110.4</f>
        <v>70550</v>
      </c>
      <c r="G44" s="27">
        <f>67580</f>
        <v>67580</v>
      </c>
      <c r="H44" s="27">
        <f>73399</f>
        <v>73399</v>
      </c>
    </row>
    <row r="45" spans="1:8" ht="31.5" x14ac:dyDescent="0.25">
      <c r="A45" s="51" t="s">
        <v>24</v>
      </c>
      <c r="B45" s="26" t="s">
        <v>9</v>
      </c>
      <c r="C45" s="26" t="s">
        <v>47</v>
      </c>
      <c r="D45" s="26" t="s">
        <v>25</v>
      </c>
      <c r="E45" s="26" t="s">
        <v>15</v>
      </c>
      <c r="F45" s="27">
        <f>100000-100000</f>
        <v>0</v>
      </c>
      <c r="G45" s="27">
        <v>70000</v>
      </c>
      <c r="H45" s="27">
        <v>0</v>
      </c>
    </row>
    <row r="46" spans="1:8" ht="47.25" x14ac:dyDescent="0.25">
      <c r="A46" s="51" t="s">
        <v>240</v>
      </c>
      <c r="B46" s="26" t="s">
        <v>9</v>
      </c>
      <c r="C46" s="26" t="s">
        <v>47</v>
      </c>
      <c r="D46" s="26" t="s">
        <v>232</v>
      </c>
      <c r="E46" s="26" t="s">
        <v>15</v>
      </c>
      <c r="F46" s="27">
        <v>0</v>
      </c>
      <c r="G46" s="27">
        <f>273605.2+28</f>
        <v>273633.2</v>
      </c>
      <c r="H46" s="27">
        <f>272915.4+28</f>
        <v>272943.40000000002</v>
      </c>
    </row>
    <row r="47" spans="1:8" ht="31.5" x14ac:dyDescent="0.25">
      <c r="A47" s="51" t="s">
        <v>28</v>
      </c>
      <c r="B47" s="26" t="s">
        <v>9</v>
      </c>
      <c r="C47" s="26" t="s">
        <v>47</v>
      </c>
      <c r="D47" s="26" t="s">
        <v>29</v>
      </c>
      <c r="E47" s="26" t="s">
        <v>15</v>
      </c>
      <c r="F47" s="27">
        <v>140760</v>
      </c>
      <c r="G47" s="27">
        <v>84475</v>
      </c>
      <c r="H47" s="27">
        <v>126660</v>
      </c>
    </row>
    <row r="48" spans="1:8" ht="31.5" x14ac:dyDescent="0.25">
      <c r="A48" s="49" t="s">
        <v>59</v>
      </c>
      <c r="B48" s="23" t="s">
        <v>9</v>
      </c>
      <c r="C48" s="23" t="s">
        <v>60</v>
      </c>
      <c r="D48" s="23" t="s">
        <v>61</v>
      </c>
      <c r="E48" s="23" t="s">
        <v>15</v>
      </c>
      <c r="F48" s="18">
        <v>150000</v>
      </c>
      <c r="G48" s="18">
        <v>150000</v>
      </c>
      <c r="H48" s="18">
        <v>155000</v>
      </c>
    </row>
    <row r="49" spans="1:8" ht="47.25" x14ac:dyDescent="0.25">
      <c r="A49" s="49" t="s">
        <v>62</v>
      </c>
      <c r="B49" s="23" t="s">
        <v>9</v>
      </c>
      <c r="C49" s="23" t="s">
        <v>60</v>
      </c>
      <c r="D49" s="23" t="s">
        <v>63</v>
      </c>
      <c r="E49" s="23" t="s">
        <v>39</v>
      </c>
      <c r="F49" s="18">
        <f>651000+338520</f>
        <v>989520</v>
      </c>
      <c r="G49" s="18">
        <f t="shared" ref="G49:H49" si="1">651000+338520</f>
        <v>989520</v>
      </c>
      <c r="H49" s="18">
        <f t="shared" si="1"/>
        <v>989520</v>
      </c>
    </row>
    <row r="50" spans="1:8" ht="63" x14ac:dyDescent="0.25">
      <c r="A50" s="49" t="s">
        <v>271</v>
      </c>
      <c r="B50" s="24" t="s">
        <v>9</v>
      </c>
      <c r="C50" s="24" t="s">
        <v>60</v>
      </c>
      <c r="D50" s="24" t="s">
        <v>64</v>
      </c>
      <c r="E50" s="24" t="s">
        <v>39</v>
      </c>
      <c r="F50" s="18">
        <v>52080</v>
      </c>
      <c r="G50" s="18">
        <v>52080</v>
      </c>
      <c r="H50" s="18">
        <v>52080</v>
      </c>
    </row>
    <row r="51" spans="1:8" ht="47.25" x14ac:dyDescent="0.25">
      <c r="A51" s="52" t="s">
        <v>65</v>
      </c>
      <c r="B51" s="24" t="s">
        <v>9</v>
      </c>
      <c r="C51" s="24" t="s">
        <v>66</v>
      </c>
      <c r="D51" s="24" t="s">
        <v>32</v>
      </c>
      <c r="E51" s="24" t="s">
        <v>39</v>
      </c>
      <c r="F51" s="18">
        <f>8792506.97+1700500-1700500</f>
        <v>8792506.9700000007</v>
      </c>
      <c r="G51" s="18">
        <f>8792506.97</f>
        <v>8792506.9700000007</v>
      </c>
      <c r="H51" s="18">
        <f>8792506.97</f>
        <v>8792506.9700000007</v>
      </c>
    </row>
    <row r="52" spans="1:8" ht="47.25" x14ac:dyDescent="0.25">
      <c r="A52" s="52" t="s">
        <v>227</v>
      </c>
      <c r="B52" s="23" t="s">
        <v>9</v>
      </c>
      <c r="C52" s="23" t="s">
        <v>66</v>
      </c>
      <c r="D52" s="23" t="s">
        <v>225</v>
      </c>
      <c r="E52" s="23" t="s">
        <v>15</v>
      </c>
      <c r="F52" s="18">
        <f>1584407.41+160.1</f>
        <v>1584567.51</v>
      </c>
      <c r="G52" s="18">
        <f>4691028.6+474</f>
        <v>4691502.5999999996</v>
      </c>
      <c r="H52" s="18">
        <v>0</v>
      </c>
    </row>
    <row r="53" spans="1:8" ht="63" x14ac:dyDescent="0.25">
      <c r="A53" s="55" t="s">
        <v>257</v>
      </c>
      <c r="B53" s="24" t="s">
        <v>9</v>
      </c>
      <c r="C53" s="24" t="s">
        <v>66</v>
      </c>
      <c r="D53" s="24" t="s">
        <v>68</v>
      </c>
      <c r="E53" s="24" t="s">
        <v>13</v>
      </c>
      <c r="F53" s="18">
        <v>6000</v>
      </c>
      <c r="G53" s="18">
        <v>6000</v>
      </c>
      <c r="H53" s="18">
        <v>6000</v>
      </c>
    </row>
    <row r="54" spans="1:8" ht="31.5" x14ac:dyDescent="0.25">
      <c r="A54" s="55" t="s">
        <v>67</v>
      </c>
      <c r="B54" s="24" t="s">
        <v>9</v>
      </c>
      <c r="C54" s="24" t="s">
        <v>66</v>
      </c>
      <c r="D54" s="24" t="s">
        <v>68</v>
      </c>
      <c r="E54" s="24" t="s">
        <v>15</v>
      </c>
      <c r="F54" s="18">
        <v>179057</v>
      </c>
      <c r="G54" s="18">
        <v>179057</v>
      </c>
      <c r="H54" s="18">
        <v>179057</v>
      </c>
    </row>
    <row r="55" spans="1:8" ht="31.5" x14ac:dyDescent="0.25">
      <c r="A55" s="55" t="s">
        <v>69</v>
      </c>
      <c r="B55" s="24" t="s">
        <v>9</v>
      </c>
      <c r="C55" s="24" t="s">
        <v>66</v>
      </c>
      <c r="D55" s="24" t="s">
        <v>68</v>
      </c>
      <c r="E55" s="24" t="s">
        <v>70</v>
      </c>
      <c r="F55" s="18">
        <v>114943</v>
      </c>
      <c r="G55" s="18">
        <v>114943</v>
      </c>
      <c r="H55" s="18">
        <v>114943</v>
      </c>
    </row>
    <row r="56" spans="1:8" ht="47.25" x14ac:dyDescent="0.25">
      <c r="A56" s="55" t="s">
        <v>42</v>
      </c>
      <c r="B56" s="24" t="s">
        <v>9</v>
      </c>
      <c r="C56" s="24" t="s">
        <v>66</v>
      </c>
      <c r="D56" s="24" t="s">
        <v>43</v>
      </c>
      <c r="E56" s="24" t="s">
        <v>13</v>
      </c>
      <c r="F56" s="18">
        <f>85299.54+16700.46</f>
        <v>102000</v>
      </c>
      <c r="G56" s="18">
        <f t="shared" ref="G56:H56" si="2">85299.54+16700.46</f>
        <v>102000</v>
      </c>
      <c r="H56" s="18">
        <f t="shared" si="2"/>
        <v>102000</v>
      </c>
    </row>
    <row r="57" spans="1:8" ht="31.5" x14ac:dyDescent="0.25">
      <c r="A57" s="55" t="s">
        <v>71</v>
      </c>
      <c r="B57" s="24" t="s">
        <v>9</v>
      </c>
      <c r="C57" s="24" t="s">
        <v>66</v>
      </c>
      <c r="D57" s="24" t="s">
        <v>43</v>
      </c>
      <c r="E57" s="24" t="s">
        <v>15</v>
      </c>
      <c r="F57" s="18">
        <v>35000</v>
      </c>
      <c r="G57" s="18">
        <v>35000</v>
      </c>
      <c r="H57" s="18">
        <v>35000</v>
      </c>
    </row>
    <row r="58" spans="1:8" ht="31.5" x14ac:dyDescent="0.25">
      <c r="A58" s="55" t="s">
        <v>72</v>
      </c>
      <c r="B58" s="24" t="s">
        <v>9</v>
      </c>
      <c r="C58" s="24" t="s">
        <v>66</v>
      </c>
      <c r="D58" s="24" t="s">
        <v>43</v>
      </c>
      <c r="E58" s="24" t="s">
        <v>70</v>
      </c>
      <c r="F58" s="18">
        <v>35000</v>
      </c>
      <c r="G58" s="18">
        <v>35000</v>
      </c>
      <c r="H58" s="18">
        <v>35000</v>
      </c>
    </row>
    <row r="59" spans="1:8" ht="31.5" x14ac:dyDescent="0.25">
      <c r="A59" s="55" t="s">
        <v>28</v>
      </c>
      <c r="B59" s="24" t="s">
        <v>9</v>
      </c>
      <c r="C59" s="24" t="s">
        <v>66</v>
      </c>
      <c r="D59" s="24" t="s">
        <v>29</v>
      </c>
      <c r="E59" s="24" t="s">
        <v>15</v>
      </c>
      <c r="F59" s="18">
        <v>24596</v>
      </c>
      <c r="G59" s="18">
        <v>28580</v>
      </c>
      <c r="H59" s="18">
        <v>22280</v>
      </c>
    </row>
    <row r="60" spans="1:8" ht="63" x14ac:dyDescent="0.25">
      <c r="A60" s="49" t="s">
        <v>73</v>
      </c>
      <c r="B60" s="23" t="s">
        <v>9</v>
      </c>
      <c r="C60" s="23" t="s">
        <v>66</v>
      </c>
      <c r="D60" s="23" t="s">
        <v>74</v>
      </c>
      <c r="E60" s="23" t="s">
        <v>13</v>
      </c>
      <c r="F60" s="18">
        <f>10088634.8+3046767.71</f>
        <v>13135402.510000002</v>
      </c>
      <c r="G60" s="18">
        <f t="shared" ref="G60:H60" si="3">10088634.8+3046767.71</f>
        <v>13135402.510000002</v>
      </c>
      <c r="H60" s="18">
        <f t="shared" si="3"/>
        <v>13135402.510000002</v>
      </c>
    </row>
    <row r="61" spans="1:8" ht="47.25" x14ac:dyDescent="0.25">
      <c r="A61" s="54" t="s">
        <v>75</v>
      </c>
      <c r="B61" s="24" t="s">
        <v>9</v>
      </c>
      <c r="C61" s="24" t="s">
        <v>66</v>
      </c>
      <c r="D61" s="24" t="s">
        <v>74</v>
      </c>
      <c r="E61" s="24" t="s">
        <v>15</v>
      </c>
      <c r="F61" s="18">
        <f>1421572.24+505464</f>
        <v>1927036.24</v>
      </c>
      <c r="G61" s="18">
        <f>1431479.71+515445.33</f>
        <v>1946925.04</v>
      </c>
      <c r="H61" s="18">
        <f>1351079.71+515445.33</f>
        <v>1866525.04</v>
      </c>
    </row>
    <row r="62" spans="1:8" ht="31.5" x14ac:dyDescent="0.25">
      <c r="A62" s="57" t="s">
        <v>76</v>
      </c>
      <c r="B62" s="25" t="s">
        <v>9</v>
      </c>
      <c r="C62" s="25" t="s">
        <v>66</v>
      </c>
      <c r="D62" s="24" t="s">
        <v>74</v>
      </c>
      <c r="E62" s="25" t="s">
        <v>17</v>
      </c>
      <c r="F62" s="27">
        <v>2120</v>
      </c>
      <c r="G62" s="27">
        <v>2120</v>
      </c>
      <c r="H62" s="27">
        <v>2120</v>
      </c>
    </row>
    <row r="63" spans="1:8" ht="78.75" x14ac:dyDescent="0.25">
      <c r="A63" s="54" t="s">
        <v>77</v>
      </c>
      <c r="B63" s="24" t="s">
        <v>9</v>
      </c>
      <c r="C63" s="24" t="s">
        <v>78</v>
      </c>
      <c r="D63" s="24" t="s">
        <v>79</v>
      </c>
      <c r="E63" s="24" t="s">
        <v>70</v>
      </c>
      <c r="F63" s="18">
        <v>1978244.77</v>
      </c>
      <c r="G63" s="18">
        <v>1832091.9</v>
      </c>
      <c r="H63" s="18">
        <v>1832091.9</v>
      </c>
    </row>
    <row r="64" spans="1:8" ht="63" x14ac:dyDescent="0.25">
      <c r="A64" s="54" t="s">
        <v>80</v>
      </c>
      <c r="B64" s="24" t="s">
        <v>9</v>
      </c>
      <c r="C64" s="24" t="s">
        <v>81</v>
      </c>
      <c r="D64" s="24" t="s">
        <v>82</v>
      </c>
      <c r="E64" s="24" t="s">
        <v>13</v>
      </c>
      <c r="F64" s="18">
        <f>361509.6+6900+109175.9</f>
        <v>477585.5</v>
      </c>
      <c r="G64" s="18">
        <f>361509.6+19500+109175.9</f>
        <v>490185.5</v>
      </c>
      <c r="H64" s="18">
        <f>361509.6+19500+109175.9</f>
        <v>490185.5</v>
      </c>
    </row>
    <row r="65" spans="1:11" ht="47.25" x14ac:dyDescent="0.3">
      <c r="A65" s="54" t="s">
        <v>83</v>
      </c>
      <c r="B65" s="24" t="s">
        <v>9</v>
      </c>
      <c r="C65" s="24" t="s">
        <v>81</v>
      </c>
      <c r="D65" s="24" t="s">
        <v>82</v>
      </c>
      <c r="E65" s="24" t="s">
        <v>15</v>
      </c>
      <c r="F65" s="18">
        <f>276700-146600</f>
        <v>130100</v>
      </c>
      <c r="G65" s="18">
        <v>207300</v>
      </c>
      <c r="H65" s="18">
        <v>345300</v>
      </c>
      <c r="I65" s="9"/>
      <c r="J65" s="9"/>
      <c r="K65" s="9"/>
    </row>
    <row r="66" spans="1:11" ht="15.75" x14ac:dyDescent="0.25">
      <c r="A66" s="47" t="s">
        <v>84</v>
      </c>
      <c r="B66" s="28" t="s">
        <v>85</v>
      </c>
      <c r="C66" s="28"/>
      <c r="D66" s="28"/>
      <c r="E66" s="28"/>
      <c r="F66" s="16">
        <f>SUM(F67:F73)</f>
        <v>11650655.92</v>
      </c>
      <c r="G66" s="16">
        <f>SUM(G67:G73)</f>
        <v>11060856.020000001</v>
      </c>
      <c r="H66" s="16">
        <f>SUM(H67:H73)</f>
        <v>11074250.370000001</v>
      </c>
      <c r="I66" s="10"/>
      <c r="J66" s="10"/>
      <c r="K66" s="10"/>
    </row>
    <row r="67" spans="1:11" ht="63" x14ac:dyDescent="0.25">
      <c r="A67" s="59" t="s">
        <v>86</v>
      </c>
      <c r="B67" s="21" t="s">
        <v>85</v>
      </c>
      <c r="C67" s="29" t="s">
        <v>87</v>
      </c>
      <c r="D67" s="29" t="s">
        <v>88</v>
      </c>
      <c r="E67" s="29" t="s">
        <v>13</v>
      </c>
      <c r="F67" s="46">
        <f>9551667.21+137328.45</f>
        <v>9688995.6600000001</v>
      </c>
      <c r="G67" s="30">
        <f>9551667.21</f>
        <v>9551667.2100000009</v>
      </c>
      <c r="H67" s="30">
        <f>9551667.21</f>
        <v>9551667.2100000009</v>
      </c>
    </row>
    <row r="68" spans="1:11" ht="31.5" x14ac:dyDescent="0.25">
      <c r="A68" s="60" t="s">
        <v>89</v>
      </c>
      <c r="B68" s="21" t="s">
        <v>85</v>
      </c>
      <c r="C68" s="29" t="s">
        <v>87</v>
      </c>
      <c r="D68" s="29" t="s">
        <v>88</v>
      </c>
      <c r="E68" s="29" t="s">
        <v>15</v>
      </c>
      <c r="F68" s="18">
        <f>357344.62-50000</f>
        <v>307344.62</v>
      </c>
      <c r="G68" s="18">
        <v>367188.81</v>
      </c>
      <c r="H68" s="18">
        <v>380583.16</v>
      </c>
    </row>
    <row r="69" spans="1:11" ht="31.5" x14ac:dyDescent="0.25">
      <c r="A69" s="58" t="s">
        <v>90</v>
      </c>
      <c r="B69" s="26" t="s">
        <v>85</v>
      </c>
      <c r="C69" s="31" t="s">
        <v>87</v>
      </c>
      <c r="D69" s="29" t="s">
        <v>88</v>
      </c>
      <c r="E69" s="26" t="s">
        <v>17</v>
      </c>
      <c r="F69" s="27">
        <v>1000</v>
      </c>
      <c r="G69" s="27">
        <v>1000</v>
      </c>
      <c r="H69" s="27">
        <v>1000</v>
      </c>
    </row>
    <row r="70" spans="1:11" ht="78.75" x14ac:dyDescent="0.25">
      <c r="A70" s="58" t="s">
        <v>91</v>
      </c>
      <c r="B70" s="26" t="s">
        <v>85</v>
      </c>
      <c r="C70" s="31" t="s">
        <v>87</v>
      </c>
      <c r="D70" s="29" t="s">
        <v>92</v>
      </c>
      <c r="E70" s="26" t="s">
        <v>13</v>
      </c>
      <c r="F70" s="27">
        <f>118365.83+162329.81+368620</f>
        <v>649315.64</v>
      </c>
      <c r="G70" s="27">
        <v>0</v>
      </c>
      <c r="H70" s="27">
        <v>0</v>
      </c>
    </row>
    <row r="71" spans="1:11" ht="31.5" x14ac:dyDescent="0.25">
      <c r="A71" s="49" t="s">
        <v>93</v>
      </c>
      <c r="B71" s="23" t="s">
        <v>85</v>
      </c>
      <c r="C71" s="23" t="s">
        <v>87</v>
      </c>
      <c r="D71" s="23" t="s">
        <v>94</v>
      </c>
      <c r="E71" s="23" t="s">
        <v>15</v>
      </c>
      <c r="F71" s="18">
        <v>885000</v>
      </c>
      <c r="G71" s="18">
        <v>1017000</v>
      </c>
      <c r="H71" s="18">
        <v>1017000</v>
      </c>
    </row>
    <row r="72" spans="1:11" ht="31.5" x14ac:dyDescent="0.25">
      <c r="A72" s="49" t="s">
        <v>95</v>
      </c>
      <c r="B72" s="23" t="s">
        <v>85</v>
      </c>
      <c r="C72" s="31" t="s">
        <v>87</v>
      </c>
      <c r="D72" s="23" t="s">
        <v>96</v>
      </c>
      <c r="E72" s="23" t="s">
        <v>15</v>
      </c>
      <c r="F72" s="18">
        <v>45000</v>
      </c>
      <c r="G72" s="18">
        <v>50000</v>
      </c>
      <c r="H72" s="18">
        <v>50000</v>
      </c>
    </row>
    <row r="73" spans="1:11" ht="47.25" x14ac:dyDescent="0.25">
      <c r="A73" s="49" t="s">
        <v>97</v>
      </c>
      <c r="B73" s="23" t="s">
        <v>85</v>
      </c>
      <c r="C73" s="31" t="s">
        <v>98</v>
      </c>
      <c r="D73" s="23" t="s">
        <v>99</v>
      </c>
      <c r="E73" s="23" t="s">
        <v>15</v>
      </c>
      <c r="F73" s="18">
        <v>74000</v>
      </c>
      <c r="G73" s="18">
        <v>74000</v>
      </c>
      <c r="H73" s="18">
        <v>74000</v>
      </c>
    </row>
    <row r="74" spans="1:11" ht="15.75" x14ac:dyDescent="0.25">
      <c r="A74" s="47" t="s">
        <v>100</v>
      </c>
      <c r="B74" s="15" t="s">
        <v>101</v>
      </c>
      <c r="C74" s="15"/>
      <c r="D74" s="15"/>
      <c r="E74" s="15"/>
      <c r="F74" s="16">
        <f>SUM(F75:F78)</f>
        <v>1078836.69</v>
      </c>
      <c r="G74" s="16">
        <f>SUM(G75:G78)</f>
        <v>988693.5</v>
      </c>
      <c r="H74" s="16">
        <f>SUM(H75:H78)</f>
        <v>988693.5</v>
      </c>
    </row>
    <row r="75" spans="1:11" ht="78.75" x14ac:dyDescent="0.25">
      <c r="A75" s="58" t="s">
        <v>102</v>
      </c>
      <c r="B75" s="26" t="s">
        <v>101</v>
      </c>
      <c r="C75" s="26" t="s">
        <v>103</v>
      </c>
      <c r="D75" s="32" t="s">
        <v>104</v>
      </c>
      <c r="E75" s="26" t="s">
        <v>13</v>
      </c>
      <c r="F75" s="27">
        <v>79500.61</v>
      </c>
      <c r="G75" s="27">
        <v>0</v>
      </c>
      <c r="H75" s="27">
        <v>0</v>
      </c>
    </row>
    <row r="76" spans="1:11" ht="63" x14ac:dyDescent="0.25">
      <c r="A76" s="49" t="s">
        <v>105</v>
      </c>
      <c r="B76" s="23" t="s">
        <v>101</v>
      </c>
      <c r="C76" s="23" t="s">
        <v>103</v>
      </c>
      <c r="D76" s="33" t="s">
        <v>106</v>
      </c>
      <c r="E76" s="23" t="s">
        <v>13</v>
      </c>
      <c r="F76" s="18">
        <f>760693.5+10142.58</f>
        <v>770836.08</v>
      </c>
      <c r="G76" s="18">
        <v>760693.5</v>
      </c>
      <c r="H76" s="18">
        <v>760693.5</v>
      </c>
    </row>
    <row r="77" spans="1:11" ht="31.5" x14ac:dyDescent="0.25">
      <c r="A77" s="58" t="s">
        <v>219</v>
      </c>
      <c r="B77" s="26" t="s">
        <v>101</v>
      </c>
      <c r="C77" s="26" t="s">
        <v>103</v>
      </c>
      <c r="D77" s="32" t="s">
        <v>222</v>
      </c>
      <c r="E77" s="26" t="s">
        <v>17</v>
      </c>
      <c r="F77" s="27">
        <v>500</v>
      </c>
      <c r="G77" s="27">
        <v>0</v>
      </c>
      <c r="H77" s="27">
        <v>0</v>
      </c>
    </row>
    <row r="78" spans="1:11" ht="63" x14ac:dyDescent="0.25">
      <c r="A78" s="58" t="s">
        <v>107</v>
      </c>
      <c r="B78" s="26" t="s">
        <v>101</v>
      </c>
      <c r="C78" s="26" t="s">
        <v>103</v>
      </c>
      <c r="D78" s="32" t="s">
        <v>108</v>
      </c>
      <c r="E78" s="26" t="s">
        <v>13</v>
      </c>
      <c r="F78" s="27">
        <v>228000</v>
      </c>
      <c r="G78" s="27">
        <v>228000</v>
      </c>
      <c r="H78" s="27">
        <v>228000</v>
      </c>
    </row>
    <row r="79" spans="1:11" ht="15.75" x14ac:dyDescent="0.25">
      <c r="A79" s="61" t="s">
        <v>109</v>
      </c>
      <c r="B79" s="34" t="s">
        <v>110</v>
      </c>
      <c r="C79" s="34"/>
      <c r="D79" s="34"/>
      <c r="E79" s="34"/>
      <c r="F79" s="35">
        <f>SUM(F80:F145)</f>
        <v>59346758.450000003</v>
      </c>
      <c r="G79" s="35">
        <f>SUM(G80:G145)</f>
        <v>51189589.739999995</v>
      </c>
      <c r="H79" s="35">
        <f>SUM(H80:H145)</f>
        <v>51388911.749999993</v>
      </c>
    </row>
    <row r="80" spans="1:11" ht="63" x14ac:dyDescent="0.25">
      <c r="A80" s="49" t="s">
        <v>111</v>
      </c>
      <c r="B80" s="23" t="s">
        <v>110</v>
      </c>
      <c r="C80" s="23" t="s">
        <v>112</v>
      </c>
      <c r="D80" s="33" t="s">
        <v>113</v>
      </c>
      <c r="E80" s="23" t="s">
        <v>13</v>
      </c>
      <c r="F80" s="18">
        <f>1718640+22785</f>
        <v>1741425</v>
      </c>
      <c r="G80" s="18">
        <v>1718640</v>
      </c>
      <c r="H80" s="18">
        <v>1817640</v>
      </c>
    </row>
    <row r="81" spans="1:8" ht="63" x14ac:dyDescent="0.25">
      <c r="A81" s="48" t="s">
        <v>86</v>
      </c>
      <c r="B81" s="21" t="s">
        <v>110</v>
      </c>
      <c r="C81" s="21" t="s">
        <v>114</v>
      </c>
      <c r="D81" s="21" t="s">
        <v>88</v>
      </c>
      <c r="E81" s="21" t="s">
        <v>13</v>
      </c>
      <c r="F81" s="37">
        <f>27436322.15+399695.77</f>
        <v>27836017.919999998</v>
      </c>
      <c r="G81" s="37">
        <v>27436322.149999999</v>
      </c>
      <c r="H81" s="37">
        <v>27436322.149999999</v>
      </c>
    </row>
    <row r="82" spans="1:8" ht="31.5" x14ac:dyDescent="0.25">
      <c r="A82" s="49" t="s">
        <v>89</v>
      </c>
      <c r="B82" s="23" t="s">
        <v>110</v>
      </c>
      <c r="C82" s="23" t="s">
        <v>114</v>
      </c>
      <c r="D82" s="21" t="s">
        <v>88</v>
      </c>
      <c r="E82" s="23" t="s">
        <v>15</v>
      </c>
      <c r="F82" s="18">
        <f>200000-50000</f>
        <v>150000</v>
      </c>
      <c r="G82" s="18">
        <v>0</v>
      </c>
      <c r="H82" s="18">
        <v>0</v>
      </c>
    </row>
    <row r="83" spans="1:8" ht="31.5" x14ac:dyDescent="0.25">
      <c r="A83" s="49" t="s">
        <v>90</v>
      </c>
      <c r="B83" s="23" t="s">
        <v>110</v>
      </c>
      <c r="C83" s="23" t="s">
        <v>114</v>
      </c>
      <c r="D83" s="21" t="s">
        <v>88</v>
      </c>
      <c r="E83" s="23" t="s">
        <v>17</v>
      </c>
      <c r="F83" s="18">
        <v>6050</v>
      </c>
      <c r="G83" s="18">
        <v>0</v>
      </c>
      <c r="H83" s="18">
        <v>0</v>
      </c>
    </row>
    <row r="84" spans="1:8" ht="78.75" x14ac:dyDescent="0.25">
      <c r="A84" s="49" t="s">
        <v>91</v>
      </c>
      <c r="B84" s="23" t="s">
        <v>110</v>
      </c>
      <c r="C84" s="23" t="s">
        <v>114</v>
      </c>
      <c r="D84" s="21" t="s">
        <v>92</v>
      </c>
      <c r="E84" s="23" t="s">
        <v>13</v>
      </c>
      <c r="F84" s="18">
        <v>75524.98</v>
      </c>
      <c r="G84" s="18">
        <v>0</v>
      </c>
      <c r="H84" s="18">
        <v>0</v>
      </c>
    </row>
    <row r="85" spans="1:8" ht="78.75" x14ac:dyDescent="0.25">
      <c r="A85" s="49" t="s">
        <v>231</v>
      </c>
      <c r="B85" s="23" t="s">
        <v>110</v>
      </c>
      <c r="C85" s="23" t="s">
        <v>114</v>
      </c>
      <c r="D85" s="33" t="s">
        <v>115</v>
      </c>
      <c r="E85" s="23" t="s">
        <v>13</v>
      </c>
      <c r="F85" s="18">
        <v>470550.03</v>
      </c>
      <c r="G85" s="18">
        <v>411331</v>
      </c>
      <c r="H85" s="18">
        <v>411331</v>
      </c>
    </row>
    <row r="86" spans="1:8" ht="63" x14ac:dyDescent="0.25">
      <c r="A86" s="49" t="s">
        <v>241</v>
      </c>
      <c r="B86" s="23" t="s">
        <v>110</v>
      </c>
      <c r="C86" s="23" t="s">
        <v>116</v>
      </c>
      <c r="D86" s="33" t="s">
        <v>117</v>
      </c>
      <c r="E86" s="23" t="s">
        <v>15</v>
      </c>
      <c r="F86" s="18">
        <v>35345.31</v>
      </c>
      <c r="G86" s="18">
        <v>2108.94</v>
      </c>
      <c r="H86" s="18">
        <v>1893.75</v>
      </c>
    </row>
    <row r="87" spans="1:8" ht="31.5" x14ac:dyDescent="0.25">
      <c r="A87" s="49" t="s">
        <v>118</v>
      </c>
      <c r="B87" s="23" t="s">
        <v>110</v>
      </c>
      <c r="C87" s="23" t="s">
        <v>119</v>
      </c>
      <c r="D87" s="38" t="s">
        <v>120</v>
      </c>
      <c r="E87" s="23" t="s">
        <v>17</v>
      </c>
      <c r="F87" s="18">
        <v>500000</v>
      </c>
      <c r="G87" s="18">
        <v>500000</v>
      </c>
      <c r="H87" s="18">
        <v>500000</v>
      </c>
    </row>
    <row r="88" spans="1:8" ht="47.25" x14ac:dyDescent="0.25">
      <c r="A88" s="49" t="s">
        <v>121</v>
      </c>
      <c r="B88" s="23" t="s">
        <v>110</v>
      </c>
      <c r="C88" s="23" t="s">
        <v>122</v>
      </c>
      <c r="D88" s="23" t="s">
        <v>123</v>
      </c>
      <c r="E88" s="23" t="s">
        <v>15</v>
      </c>
      <c r="F88" s="18">
        <v>50000</v>
      </c>
      <c r="G88" s="18">
        <v>50000</v>
      </c>
      <c r="H88" s="18">
        <v>50000</v>
      </c>
    </row>
    <row r="89" spans="1:8" ht="31.5" x14ac:dyDescent="0.25">
      <c r="A89" s="49" t="s">
        <v>124</v>
      </c>
      <c r="B89" s="23" t="s">
        <v>110</v>
      </c>
      <c r="C89" s="23" t="s">
        <v>122</v>
      </c>
      <c r="D89" s="23" t="s">
        <v>125</v>
      </c>
      <c r="E89" s="23" t="s">
        <v>15</v>
      </c>
      <c r="F89" s="18">
        <v>686000</v>
      </c>
      <c r="G89" s="18">
        <v>686000</v>
      </c>
      <c r="H89" s="18">
        <v>686000</v>
      </c>
    </row>
    <row r="90" spans="1:8" ht="63" x14ac:dyDescent="0.25">
      <c r="A90" s="49" t="s">
        <v>126</v>
      </c>
      <c r="B90" s="23" t="s">
        <v>110</v>
      </c>
      <c r="C90" s="23" t="s">
        <v>122</v>
      </c>
      <c r="D90" s="23" t="s">
        <v>127</v>
      </c>
      <c r="E90" s="23" t="s">
        <v>15</v>
      </c>
      <c r="F90" s="18">
        <v>100000</v>
      </c>
      <c r="G90" s="18">
        <v>100000</v>
      </c>
      <c r="H90" s="18">
        <v>100000</v>
      </c>
    </row>
    <row r="91" spans="1:8" ht="47.25" x14ac:dyDescent="0.25">
      <c r="A91" s="51" t="s">
        <v>128</v>
      </c>
      <c r="B91" s="23" t="s">
        <v>110</v>
      </c>
      <c r="C91" s="23" t="s">
        <v>122</v>
      </c>
      <c r="D91" s="23" t="s">
        <v>129</v>
      </c>
      <c r="E91" s="23" t="s">
        <v>15</v>
      </c>
      <c r="F91" s="39">
        <v>200000</v>
      </c>
      <c r="G91" s="39">
        <v>200000</v>
      </c>
      <c r="H91" s="39">
        <v>200000</v>
      </c>
    </row>
    <row r="92" spans="1:8" ht="47.25" x14ac:dyDescent="0.25">
      <c r="A92" s="49" t="s">
        <v>130</v>
      </c>
      <c r="B92" s="23" t="s">
        <v>110</v>
      </c>
      <c r="C92" s="23" t="s">
        <v>122</v>
      </c>
      <c r="D92" s="23" t="s">
        <v>131</v>
      </c>
      <c r="E92" s="23" t="s">
        <v>15</v>
      </c>
      <c r="F92" s="18">
        <v>64800.800000000003</v>
      </c>
      <c r="G92" s="18">
        <v>71280.899999999994</v>
      </c>
      <c r="H92" s="18">
        <v>71280.899999999994</v>
      </c>
    </row>
    <row r="93" spans="1:8" ht="31.5" x14ac:dyDescent="0.25">
      <c r="A93" s="48" t="s">
        <v>95</v>
      </c>
      <c r="B93" s="40" t="s">
        <v>110</v>
      </c>
      <c r="C93" s="40" t="s">
        <v>122</v>
      </c>
      <c r="D93" s="41" t="s">
        <v>96</v>
      </c>
      <c r="E93" s="40" t="s">
        <v>15</v>
      </c>
      <c r="F93" s="39">
        <v>140000</v>
      </c>
      <c r="G93" s="39">
        <v>155000</v>
      </c>
      <c r="H93" s="39">
        <v>155000</v>
      </c>
    </row>
    <row r="94" spans="1:8" ht="63" x14ac:dyDescent="0.25">
      <c r="A94" s="48" t="s">
        <v>132</v>
      </c>
      <c r="B94" s="40" t="s">
        <v>110</v>
      </c>
      <c r="C94" s="40" t="s">
        <v>122</v>
      </c>
      <c r="D94" s="41" t="s">
        <v>133</v>
      </c>
      <c r="E94" s="40" t="s">
        <v>15</v>
      </c>
      <c r="F94" s="39">
        <v>5000</v>
      </c>
      <c r="G94" s="39">
        <v>5000</v>
      </c>
      <c r="H94" s="39">
        <v>5000</v>
      </c>
    </row>
    <row r="95" spans="1:8" ht="47.25" x14ac:dyDescent="0.25">
      <c r="A95" s="48" t="s">
        <v>134</v>
      </c>
      <c r="B95" s="40" t="s">
        <v>110</v>
      </c>
      <c r="C95" s="40" t="s">
        <v>122</v>
      </c>
      <c r="D95" s="41" t="s">
        <v>135</v>
      </c>
      <c r="E95" s="40" t="s">
        <v>70</v>
      </c>
      <c r="F95" s="39">
        <v>800</v>
      </c>
      <c r="G95" s="39">
        <v>800</v>
      </c>
      <c r="H95" s="39">
        <v>800</v>
      </c>
    </row>
    <row r="96" spans="1:8" ht="31.5" x14ac:dyDescent="0.25">
      <c r="A96" s="48" t="s">
        <v>136</v>
      </c>
      <c r="B96" s="40" t="s">
        <v>110</v>
      </c>
      <c r="C96" s="40" t="s">
        <v>122</v>
      </c>
      <c r="D96" s="41" t="s">
        <v>137</v>
      </c>
      <c r="E96" s="40" t="s">
        <v>15</v>
      </c>
      <c r="F96" s="39">
        <v>15000</v>
      </c>
      <c r="G96" s="39">
        <v>15000</v>
      </c>
      <c r="H96" s="39">
        <v>15000</v>
      </c>
    </row>
    <row r="97" spans="1:8" ht="47.25" x14ac:dyDescent="0.25">
      <c r="A97" s="48" t="s">
        <v>245</v>
      </c>
      <c r="B97" s="40" t="s">
        <v>110</v>
      </c>
      <c r="C97" s="40" t="s">
        <v>122</v>
      </c>
      <c r="D97" s="41" t="s">
        <v>138</v>
      </c>
      <c r="E97" s="40" t="s">
        <v>15</v>
      </c>
      <c r="F97" s="39">
        <f>40000</f>
        <v>40000</v>
      </c>
      <c r="G97" s="39">
        <v>40000</v>
      </c>
      <c r="H97" s="39">
        <v>40000</v>
      </c>
    </row>
    <row r="98" spans="1:8" ht="31.5" x14ac:dyDescent="0.25">
      <c r="A98" s="48" t="s">
        <v>72</v>
      </c>
      <c r="B98" s="40" t="s">
        <v>110</v>
      </c>
      <c r="C98" s="40" t="s">
        <v>122</v>
      </c>
      <c r="D98" s="41" t="s">
        <v>139</v>
      </c>
      <c r="E98" s="40" t="s">
        <v>70</v>
      </c>
      <c r="F98" s="39">
        <f>44000+44000</f>
        <v>88000</v>
      </c>
      <c r="G98" s="39">
        <v>88000</v>
      </c>
      <c r="H98" s="39">
        <v>88000</v>
      </c>
    </row>
    <row r="99" spans="1:8" ht="31.5" x14ac:dyDescent="0.25">
      <c r="A99" s="48" t="s">
        <v>140</v>
      </c>
      <c r="B99" s="40" t="s">
        <v>110</v>
      </c>
      <c r="C99" s="40" t="s">
        <v>122</v>
      </c>
      <c r="D99" s="41" t="s">
        <v>141</v>
      </c>
      <c r="E99" s="40" t="s">
        <v>15</v>
      </c>
      <c r="F99" s="39">
        <v>0</v>
      </c>
      <c r="G99" s="39">
        <v>50000</v>
      </c>
      <c r="H99" s="39">
        <v>50000</v>
      </c>
    </row>
    <row r="100" spans="1:8" ht="47.25" x14ac:dyDescent="0.25">
      <c r="A100" s="62" t="s">
        <v>142</v>
      </c>
      <c r="B100" s="23" t="s">
        <v>110</v>
      </c>
      <c r="C100" s="23" t="s">
        <v>122</v>
      </c>
      <c r="D100" s="23" t="s">
        <v>143</v>
      </c>
      <c r="E100" s="23" t="s">
        <v>15</v>
      </c>
      <c r="F100" s="18">
        <v>3000</v>
      </c>
      <c r="G100" s="18">
        <v>3000</v>
      </c>
      <c r="H100" s="18">
        <v>3000</v>
      </c>
    </row>
    <row r="101" spans="1:8" ht="31.5" x14ac:dyDescent="0.25">
      <c r="A101" s="62" t="s">
        <v>252</v>
      </c>
      <c r="B101" s="23" t="s">
        <v>110</v>
      </c>
      <c r="C101" s="23" t="s">
        <v>122</v>
      </c>
      <c r="D101" s="23" t="s">
        <v>250</v>
      </c>
      <c r="E101" s="23" t="s">
        <v>15</v>
      </c>
      <c r="F101" s="18">
        <v>150000</v>
      </c>
      <c r="G101" s="18">
        <v>150000</v>
      </c>
      <c r="H101" s="18">
        <v>150000</v>
      </c>
    </row>
    <row r="102" spans="1:8" ht="47.25" x14ac:dyDescent="0.25">
      <c r="A102" s="62" t="s">
        <v>255</v>
      </c>
      <c r="B102" s="23" t="s">
        <v>110</v>
      </c>
      <c r="C102" s="23" t="s">
        <v>122</v>
      </c>
      <c r="D102" s="23" t="s">
        <v>253</v>
      </c>
      <c r="E102" s="23" t="s">
        <v>15</v>
      </c>
      <c r="F102" s="18">
        <v>130000</v>
      </c>
      <c r="G102" s="18">
        <v>130000</v>
      </c>
      <c r="H102" s="18">
        <v>130000</v>
      </c>
    </row>
    <row r="103" spans="1:8" ht="31.5" x14ac:dyDescent="0.25">
      <c r="A103" s="62" t="s">
        <v>256</v>
      </c>
      <c r="B103" s="23" t="s">
        <v>110</v>
      </c>
      <c r="C103" s="23" t="s">
        <v>122</v>
      </c>
      <c r="D103" s="23" t="s">
        <v>254</v>
      </c>
      <c r="E103" s="23" t="s">
        <v>15</v>
      </c>
      <c r="F103" s="18">
        <v>20000</v>
      </c>
      <c r="G103" s="18">
        <v>20000</v>
      </c>
      <c r="H103" s="18">
        <v>20000</v>
      </c>
    </row>
    <row r="104" spans="1:8" ht="31.5" x14ac:dyDescent="0.25">
      <c r="A104" s="49" t="s">
        <v>220</v>
      </c>
      <c r="B104" s="23" t="s">
        <v>110</v>
      </c>
      <c r="C104" s="23" t="s">
        <v>122</v>
      </c>
      <c r="D104" s="23" t="s">
        <v>144</v>
      </c>
      <c r="E104" s="23" t="s">
        <v>70</v>
      </c>
      <c r="F104" s="18">
        <v>37500</v>
      </c>
      <c r="G104" s="18">
        <v>37500</v>
      </c>
      <c r="H104" s="18">
        <v>37500</v>
      </c>
    </row>
    <row r="105" spans="1:8" ht="47.25" x14ac:dyDescent="0.25">
      <c r="A105" s="49" t="s">
        <v>273</v>
      </c>
      <c r="B105" s="23" t="s">
        <v>110</v>
      </c>
      <c r="C105" s="23" t="s">
        <v>122</v>
      </c>
      <c r="D105" s="23" t="s">
        <v>145</v>
      </c>
      <c r="E105" s="23" t="s">
        <v>15</v>
      </c>
      <c r="F105" s="18">
        <v>11547</v>
      </c>
      <c r="G105" s="18">
        <v>11669</v>
      </c>
      <c r="H105" s="18">
        <v>11669</v>
      </c>
    </row>
    <row r="106" spans="1:8" ht="31.5" x14ac:dyDescent="0.25">
      <c r="A106" s="49" t="s">
        <v>146</v>
      </c>
      <c r="B106" s="23" t="s">
        <v>110</v>
      </c>
      <c r="C106" s="23" t="s">
        <v>122</v>
      </c>
      <c r="D106" s="23" t="s">
        <v>147</v>
      </c>
      <c r="E106" s="23" t="s">
        <v>17</v>
      </c>
      <c r="F106" s="18">
        <v>58345</v>
      </c>
      <c r="G106" s="18">
        <v>0</v>
      </c>
      <c r="H106" s="18">
        <v>0</v>
      </c>
    </row>
    <row r="107" spans="1:8" ht="47.25" x14ac:dyDescent="0.25">
      <c r="A107" s="49" t="s">
        <v>148</v>
      </c>
      <c r="B107" s="23" t="s">
        <v>110</v>
      </c>
      <c r="C107" s="23" t="s">
        <v>149</v>
      </c>
      <c r="D107" s="23" t="s">
        <v>150</v>
      </c>
      <c r="E107" s="23" t="s">
        <v>15</v>
      </c>
      <c r="F107" s="18">
        <v>100000</v>
      </c>
      <c r="G107" s="18">
        <v>100000</v>
      </c>
      <c r="H107" s="18">
        <v>100000</v>
      </c>
    </row>
    <row r="108" spans="1:8" ht="63" x14ac:dyDescent="0.25">
      <c r="A108" s="49" t="s">
        <v>251</v>
      </c>
      <c r="B108" s="23" t="s">
        <v>110</v>
      </c>
      <c r="C108" s="23" t="s">
        <v>149</v>
      </c>
      <c r="D108" s="23" t="s">
        <v>249</v>
      </c>
      <c r="E108" s="23" t="s">
        <v>15</v>
      </c>
      <c r="F108" s="18">
        <v>10000</v>
      </c>
      <c r="G108" s="18">
        <v>11000</v>
      </c>
      <c r="H108" s="18">
        <v>12000</v>
      </c>
    </row>
    <row r="109" spans="1:8" ht="63" x14ac:dyDescent="0.25">
      <c r="A109" s="49" t="s">
        <v>152</v>
      </c>
      <c r="B109" s="23" t="s">
        <v>110</v>
      </c>
      <c r="C109" s="23" t="s">
        <v>151</v>
      </c>
      <c r="D109" s="23" t="s">
        <v>153</v>
      </c>
      <c r="E109" s="23" t="s">
        <v>15</v>
      </c>
      <c r="F109" s="18">
        <v>66392.850000000006</v>
      </c>
      <c r="G109" s="18">
        <v>24245.25</v>
      </c>
      <c r="H109" s="18">
        <v>24245.25</v>
      </c>
    </row>
    <row r="110" spans="1:8" ht="47.25" x14ac:dyDescent="0.25">
      <c r="A110" s="48" t="s">
        <v>154</v>
      </c>
      <c r="B110" s="41" t="s">
        <v>110</v>
      </c>
      <c r="C110" s="41" t="s">
        <v>151</v>
      </c>
      <c r="D110" s="41" t="s">
        <v>155</v>
      </c>
      <c r="E110" s="41" t="s">
        <v>15</v>
      </c>
      <c r="F110" s="42">
        <f>30000</f>
        <v>30000</v>
      </c>
      <c r="G110" s="42">
        <v>30000</v>
      </c>
      <c r="H110" s="42">
        <v>30000</v>
      </c>
    </row>
    <row r="111" spans="1:8" ht="31.5" x14ac:dyDescent="0.25">
      <c r="A111" s="49" t="s">
        <v>156</v>
      </c>
      <c r="B111" s="41" t="s">
        <v>110</v>
      </c>
      <c r="C111" s="41" t="s">
        <v>157</v>
      </c>
      <c r="D111" s="23" t="s">
        <v>158</v>
      </c>
      <c r="E111" s="41" t="s">
        <v>17</v>
      </c>
      <c r="F111" s="42">
        <f>243000</f>
        <v>243000</v>
      </c>
      <c r="G111" s="42">
        <v>200000</v>
      </c>
      <c r="H111" s="42">
        <v>200000</v>
      </c>
    </row>
    <row r="112" spans="1:8" ht="31.5" x14ac:dyDescent="0.25">
      <c r="A112" s="48" t="s">
        <v>235</v>
      </c>
      <c r="B112" s="41" t="s">
        <v>110</v>
      </c>
      <c r="C112" s="41" t="s">
        <v>157</v>
      </c>
      <c r="D112" s="41" t="s">
        <v>159</v>
      </c>
      <c r="E112" s="41" t="s">
        <v>17</v>
      </c>
      <c r="F112" s="42">
        <f>1364603.54+71821.24</f>
        <v>1436424.78</v>
      </c>
      <c r="G112" s="42">
        <f>1384375.62+72861.87</f>
        <v>1457237.4900000002</v>
      </c>
      <c r="H112" s="42">
        <f>1405097.35+73952.49</f>
        <v>1479049.84</v>
      </c>
    </row>
    <row r="113" spans="1:8" ht="141.75" x14ac:dyDescent="0.25">
      <c r="A113" s="48" t="s">
        <v>169</v>
      </c>
      <c r="B113" s="41" t="s">
        <v>110</v>
      </c>
      <c r="C113" s="41" t="s">
        <v>161</v>
      </c>
      <c r="D113" s="41" t="s">
        <v>170</v>
      </c>
      <c r="E113" s="41" t="s">
        <v>15</v>
      </c>
      <c r="F113" s="42">
        <f>2715515.72-2715515.72</f>
        <v>0</v>
      </c>
      <c r="G113" s="42">
        <v>2715515.72</v>
      </c>
      <c r="H113" s="42">
        <v>2715515.72</v>
      </c>
    </row>
    <row r="114" spans="1:8" ht="141.75" x14ac:dyDescent="0.25">
      <c r="A114" s="48" t="s">
        <v>171</v>
      </c>
      <c r="B114" s="41" t="s">
        <v>110</v>
      </c>
      <c r="C114" s="41" t="s">
        <v>161</v>
      </c>
      <c r="D114" s="41" t="s">
        <v>170</v>
      </c>
      <c r="E114" s="41" t="s">
        <v>172</v>
      </c>
      <c r="F114" s="42">
        <v>2715515.72</v>
      </c>
      <c r="G114" s="42">
        <v>0</v>
      </c>
      <c r="H114" s="42">
        <v>0</v>
      </c>
    </row>
    <row r="115" spans="1:8" ht="141.75" x14ac:dyDescent="0.25">
      <c r="A115" s="48" t="s">
        <v>173</v>
      </c>
      <c r="B115" s="41" t="s">
        <v>110</v>
      </c>
      <c r="C115" s="41" t="s">
        <v>161</v>
      </c>
      <c r="D115" s="41" t="s">
        <v>174</v>
      </c>
      <c r="E115" s="41" t="s">
        <v>15</v>
      </c>
      <c r="F115" s="42">
        <f>1472278.57-1472278.57</f>
        <v>0</v>
      </c>
      <c r="G115" s="42">
        <v>1472278.57</v>
      </c>
      <c r="H115" s="42">
        <v>1472278.57</v>
      </c>
    </row>
    <row r="116" spans="1:8" ht="126" x14ac:dyDescent="0.25">
      <c r="A116" s="48" t="s">
        <v>175</v>
      </c>
      <c r="B116" s="41" t="s">
        <v>110</v>
      </c>
      <c r="C116" s="41" t="s">
        <v>161</v>
      </c>
      <c r="D116" s="41" t="s">
        <v>174</v>
      </c>
      <c r="E116" s="41" t="s">
        <v>172</v>
      </c>
      <c r="F116" s="42">
        <v>1472278.57</v>
      </c>
      <c r="G116" s="42">
        <v>0</v>
      </c>
      <c r="H116" s="42">
        <v>0</v>
      </c>
    </row>
    <row r="117" spans="1:8" ht="47.25" x14ac:dyDescent="0.25">
      <c r="A117" s="48" t="s">
        <v>160</v>
      </c>
      <c r="B117" s="41" t="s">
        <v>110</v>
      </c>
      <c r="C117" s="41" t="s">
        <v>161</v>
      </c>
      <c r="D117" s="41" t="s">
        <v>162</v>
      </c>
      <c r="E117" s="41" t="s">
        <v>15</v>
      </c>
      <c r="F117" s="42">
        <f>48000-36000+36000</f>
        <v>48000</v>
      </c>
      <c r="G117" s="42">
        <v>12000</v>
      </c>
      <c r="H117" s="42">
        <v>12000</v>
      </c>
    </row>
    <row r="118" spans="1:8" ht="31.5" x14ac:dyDescent="0.25">
      <c r="A118" s="49" t="s">
        <v>163</v>
      </c>
      <c r="B118" s="41" t="s">
        <v>110</v>
      </c>
      <c r="C118" s="41" t="s">
        <v>161</v>
      </c>
      <c r="D118" s="41" t="s">
        <v>164</v>
      </c>
      <c r="E118" s="41" t="s">
        <v>15</v>
      </c>
      <c r="F118" s="42">
        <f>108093.41-21503.99-39121.31+42192.37</f>
        <v>89660.48000000001</v>
      </c>
      <c r="G118" s="42">
        <f>21504-12478.88+3028.55</f>
        <v>12053.670000000002</v>
      </c>
      <c r="H118" s="42">
        <f>21504-12478.88+5307.25</f>
        <v>14332.37</v>
      </c>
    </row>
    <row r="119" spans="1:8" ht="31.5" x14ac:dyDescent="0.25">
      <c r="A119" s="48" t="s">
        <v>165</v>
      </c>
      <c r="B119" s="23" t="s">
        <v>110</v>
      </c>
      <c r="C119" s="23" t="s">
        <v>161</v>
      </c>
      <c r="D119" s="36" t="s">
        <v>166</v>
      </c>
      <c r="E119" s="41" t="s">
        <v>15</v>
      </c>
      <c r="F119" s="42">
        <f>712980.57-712980.57+143507.63</f>
        <v>143507.63</v>
      </c>
      <c r="G119" s="42">
        <f>1004859.56+168807.73+45194.42-797126.99+141521.45</f>
        <v>563256.16999999993</v>
      </c>
      <c r="H119" s="42">
        <f>1004859.56+168807.73+45194.42-797126.99+248002.75</f>
        <v>669737.47</v>
      </c>
    </row>
    <row r="120" spans="1:8" ht="78.75" x14ac:dyDescent="0.25">
      <c r="A120" s="49" t="s">
        <v>167</v>
      </c>
      <c r="B120" s="21" t="s">
        <v>110</v>
      </c>
      <c r="C120" s="21" t="s">
        <v>161</v>
      </c>
      <c r="D120" s="36" t="s">
        <v>168</v>
      </c>
      <c r="E120" s="41" t="s">
        <v>15</v>
      </c>
      <c r="F120" s="42">
        <f>3843922.76+202311.73</f>
        <v>4046234.4899999998</v>
      </c>
      <c r="G120" s="42">
        <v>0</v>
      </c>
      <c r="H120" s="42">
        <v>0</v>
      </c>
    </row>
    <row r="121" spans="1:8" ht="31.5" x14ac:dyDescent="0.25">
      <c r="A121" s="48" t="s">
        <v>246</v>
      </c>
      <c r="B121" s="21" t="s">
        <v>110</v>
      </c>
      <c r="C121" s="21" t="s">
        <v>161</v>
      </c>
      <c r="D121" s="36" t="s">
        <v>258</v>
      </c>
      <c r="E121" s="41" t="s">
        <v>15</v>
      </c>
      <c r="F121" s="42">
        <v>709605.87</v>
      </c>
      <c r="G121" s="42">
        <f>709605.87</f>
        <v>709605.87</v>
      </c>
      <c r="H121" s="42">
        <f>709605.87</f>
        <v>709605.87</v>
      </c>
    </row>
    <row r="122" spans="1:8" ht="31.5" x14ac:dyDescent="0.25">
      <c r="A122" s="48" t="s">
        <v>221</v>
      </c>
      <c r="B122" s="41" t="s">
        <v>110</v>
      </c>
      <c r="C122" s="41" t="s">
        <v>176</v>
      </c>
      <c r="D122" s="41" t="s">
        <v>177</v>
      </c>
      <c r="E122" s="41" t="s">
        <v>15</v>
      </c>
      <c r="F122" s="42">
        <v>220000.37</v>
      </c>
      <c r="G122" s="42">
        <v>220000.37</v>
      </c>
      <c r="H122" s="42">
        <v>220000.37</v>
      </c>
    </row>
    <row r="123" spans="1:8" ht="110.25" x14ac:dyDescent="0.25">
      <c r="A123" s="49" t="s">
        <v>178</v>
      </c>
      <c r="B123" s="41" t="s">
        <v>110</v>
      </c>
      <c r="C123" s="41" t="s">
        <v>179</v>
      </c>
      <c r="D123" s="41" t="s">
        <v>180</v>
      </c>
      <c r="E123" s="41" t="s">
        <v>15</v>
      </c>
      <c r="F123" s="42">
        <v>20647.68</v>
      </c>
      <c r="G123" s="42">
        <f>252000-231352.32</f>
        <v>20647.679999999993</v>
      </c>
      <c r="H123" s="42">
        <f>252000-231352.32</f>
        <v>20647.679999999993</v>
      </c>
    </row>
    <row r="124" spans="1:8" ht="31.5" x14ac:dyDescent="0.25">
      <c r="A124" s="49" t="s">
        <v>242</v>
      </c>
      <c r="B124" s="41" t="s">
        <v>110</v>
      </c>
      <c r="C124" s="41" t="s">
        <v>181</v>
      </c>
      <c r="D124" s="41" t="s">
        <v>182</v>
      </c>
      <c r="E124" s="41" t="s">
        <v>15</v>
      </c>
      <c r="F124" s="42">
        <v>209000</v>
      </c>
      <c r="G124" s="42">
        <v>209000</v>
      </c>
      <c r="H124" s="42">
        <v>209000</v>
      </c>
    </row>
    <row r="125" spans="1:8" ht="78.75" x14ac:dyDescent="0.25">
      <c r="A125" s="51" t="s">
        <v>183</v>
      </c>
      <c r="B125" s="41" t="s">
        <v>110</v>
      </c>
      <c r="C125" s="41" t="s">
        <v>181</v>
      </c>
      <c r="D125" s="41" t="s">
        <v>184</v>
      </c>
      <c r="E125" s="41" t="s">
        <v>15</v>
      </c>
      <c r="F125" s="42">
        <f>222700-222700</f>
        <v>0</v>
      </c>
      <c r="G125" s="42">
        <v>222700</v>
      </c>
      <c r="H125" s="42">
        <v>222700</v>
      </c>
    </row>
    <row r="126" spans="1:8" ht="63" x14ac:dyDescent="0.25">
      <c r="A126" s="51" t="s">
        <v>185</v>
      </c>
      <c r="B126" s="41" t="s">
        <v>110</v>
      </c>
      <c r="C126" s="41" t="s">
        <v>181</v>
      </c>
      <c r="D126" s="41" t="s">
        <v>184</v>
      </c>
      <c r="E126" s="41" t="s">
        <v>172</v>
      </c>
      <c r="F126" s="42">
        <v>222700</v>
      </c>
      <c r="G126" s="42">
        <v>0</v>
      </c>
      <c r="H126" s="42">
        <v>0</v>
      </c>
    </row>
    <row r="127" spans="1:8" ht="78.75" x14ac:dyDescent="0.25">
      <c r="A127" s="51" t="s">
        <v>265</v>
      </c>
      <c r="B127" s="41" t="s">
        <v>110</v>
      </c>
      <c r="C127" s="41" t="s">
        <v>181</v>
      </c>
      <c r="D127" s="41" t="s">
        <v>187</v>
      </c>
      <c r="E127" s="41" t="s">
        <v>15</v>
      </c>
      <c r="F127" s="42">
        <f>60000-60000</f>
        <v>0</v>
      </c>
      <c r="G127" s="42">
        <v>60000</v>
      </c>
      <c r="H127" s="42">
        <v>60000</v>
      </c>
    </row>
    <row r="128" spans="1:8" ht="63" x14ac:dyDescent="0.25">
      <c r="A128" s="51" t="s">
        <v>186</v>
      </c>
      <c r="B128" s="41" t="s">
        <v>110</v>
      </c>
      <c r="C128" s="41" t="s">
        <v>181</v>
      </c>
      <c r="D128" s="41" t="s">
        <v>187</v>
      </c>
      <c r="E128" s="41" t="s">
        <v>172</v>
      </c>
      <c r="F128" s="42">
        <v>60000</v>
      </c>
      <c r="G128" s="42">
        <v>0</v>
      </c>
      <c r="H128" s="42">
        <v>0</v>
      </c>
    </row>
    <row r="129" spans="1:9" ht="63" x14ac:dyDescent="0.25">
      <c r="A129" s="49" t="s">
        <v>188</v>
      </c>
      <c r="B129" s="41" t="s">
        <v>110</v>
      </c>
      <c r="C129" s="41" t="s">
        <v>189</v>
      </c>
      <c r="D129" s="40" t="s">
        <v>190</v>
      </c>
      <c r="E129" s="41" t="s">
        <v>17</v>
      </c>
      <c r="F129" s="42">
        <v>102970</v>
      </c>
      <c r="G129" s="42">
        <v>102970</v>
      </c>
      <c r="H129" s="42">
        <v>102970</v>
      </c>
    </row>
    <row r="130" spans="1:9" ht="31.5" x14ac:dyDescent="0.25">
      <c r="A130" s="63" t="s">
        <v>234</v>
      </c>
      <c r="B130" s="41" t="s">
        <v>110</v>
      </c>
      <c r="C130" s="41" t="s">
        <v>189</v>
      </c>
      <c r="D130" s="41" t="s">
        <v>233</v>
      </c>
      <c r="E130" s="41" t="s">
        <v>15</v>
      </c>
      <c r="F130" s="42">
        <v>336000</v>
      </c>
      <c r="G130" s="42">
        <v>336000</v>
      </c>
      <c r="H130" s="42">
        <v>336000</v>
      </c>
    </row>
    <row r="131" spans="1:9" ht="47.25" x14ac:dyDescent="0.25">
      <c r="A131" s="63" t="s">
        <v>191</v>
      </c>
      <c r="B131" s="41" t="s">
        <v>110</v>
      </c>
      <c r="C131" s="41" t="s">
        <v>189</v>
      </c>
      <c r="D131" s="41" t="s">
        <v>192</v>
      </c>
      <c r="E131" s="41" t="s">
        <v>15</v>
      </c>
      <c r="F131" s="42">
        <f>170000-170000</f>
        <v>0</v>
      </c>
      <c r="G131" s="42">
        <v>170000</v>
      </c>
      <c r="H131" s="42">
        <v>170000</v>
      </c>
    </row>
    <row r="132" spans="1:9" ht="31.5" x14ac:dyDescent="0.25">
      <c r="A132" s="62" t="s">
        <v>193</v>
      </c>
      <c r="B132" s="40" t="s">
        <v>110</v>
      </c>
      <c r="C132" s="40" t="s">
        <v>189</v>
      </c>
      <c r="D132" s="40" t="s">
        <v>192</v>
      </c>
      <c r="E132" s="40" t="s">
        <v>172</v>
      </c>
      <c r="F132" s="39">
        <v>170000</v>
      </c>
      <c r="G132" s="39">
        <v>0</v>
      </c>
      <c r="H132" s="39">
        <v>0</v>
      </c>
    </row>
    <row r="133" spans="1:9" ht="15.75" x14ac:dyDescent="0.25">
      <c r="A133" s="64" t="s">
        <v>194</v>
      </c>
      <c r="B133" s="43" t="s">
        <v>110</v>
      </c>
      <c r="C133" s="43" t="s">
        <v>189</v>
      </c>
      <c r="D133" s="43" t="s">
        <v>195</v>
      </c>
      <c r="E133" s="43" t="s">
        <v>17</v>
      </c>
      <c r="F133" s="44">
        <f>45375-4125</f>
        <v>41250</v>
      </c>
      <c r="G133" s="44">
        <v>41250</v>
      </c>
      <c r="H133" s="44">
        <v>41250</v>
      </c>
    </row>
    <row r="134" spans="1:9" ht="31.5" x14ac:dyDescent="0.25">
      <c r="A134" s="49" t="s">
        <v>243</v>
      </c>
      <c r="B134" s="40" t="s">
        <v>110</v>
      </c>
      <c r="C134" s="40" t="s">
        <v>189</v>
      </c>
      <c r="D134" s="40" t="s">
        <v>244</v>
      </c>
      <c r="E134" s="40" t="s">
        <v>15</v>
      </c>
      <c r="F134" s="39">
        <v>80000</v>
      </c>
      <c r="G134" s="39">
        <v>80000</v>
      </c>
      <c r="H134" s="39">
        <v>80000</v>
      </c>
      <c r="I134" s="7"/>
    </row>
    <row r="135" spans="1:9" ht="31.5" x14ac:dyDescent="0.25">
      <c r="A135" s="58" t="s">
        <v>196</v>
      </c>
      <c r="B135" s="26" t="s">
        <v>110</v>
      </c>
      <c r="C135" s="26" t="s">
        <v>189</v>
      </c>
      <c r="D135" s="23" t="s">
        <v>197</v>
      </c>
      <c r="E135" s="26" t="s">
        <v>15</v>
      </c>
      <c r="F135" s="27">
        <f>1500000-1500000+1500000</f>
        <v>1500000</v>
      </c>
      <c r="G135" s="27">
        <f>1500000-1500000</f>
        <v>0</v>
      </c>
      <c r="H135" s="27">
        <f>1500000-1500000</f>
        <v>0</v>
      </c>
    </row>
    <row r="136" spans="1:9" ht="47.25" x14ac:dyDescent="0.25">
      <c r="A136" s="49" t="s">
        <v>198</v>
      </c>
      <c r="B136" s="23" t="s">
        <v>110</v>
      </c>
      <c r="C136" s="23" t="s">
        <v>47</v>
      </c>
      <c r="D136" s="23" t="s">
        <v>199</v>
      </c>
      <c r="E136" s="23" t="s">
        <v>39</v>
      </c>
      <c r="F136" s="18">
        <f>4682986.2+2434396.43-115062.95+21326.76</f>
        <v>7023646.4400000004</v>
      </c>
      <c r="G136" s="18">
        <f>4034561.17+2311498.72</f>
        <v>6346059.8900000006</v>
      </c>
      <c r="H136" s="18">
        <f>4034561.17+2311498.72</f>
        <v>6346059.8900000006</v>
      </c>
    </row>
    <row r="137" spans="1:9" ht="78.75" x14ac:dyDescent="0.25">
      <c r="A137" s="63" t="s">
        <v>200</v>
      </c>
      <c r="B137" s="17" t="s">
        <v>110</v>
      </c>
      <c r="C137" s="17" t="s">
        <v>47</v>
      </c>
      <c r="D137" s="24" t="s">
        <v>201</v>
      </c>
      <c r="E137" s="17" t="s">
        <v>39</v>
      </c>
      <c r="F137" s="37">
        <v>2186196</v>
      </c>
      <c r="G137" s="37">
        <v>0</v>
      </c>
      <c r="H137" s="37">
        <v>0</v>
      </c>
    </row>
    <row r="138" spans="1:9" ht="78.75" x14ac:dyDescent="0.25">
      <c r="A138" s="63" t="s">
        <v>260</v>
      </c>
      <c r="B138" s="17" t="s">
        <v>110</v>
      </c>
      <c r="C138" s="17" t="s">
        <v>47</v>
      </c>
      <c r="D138" s="24" t="s">
        <v>259</v>
      </c>
      <c r="E138" s="17" t="s">
        <v>39</v>
      </c>
      <c r="F138" s="37">
        <v>115062.95</v>
      </c>
      <c r="G138" s="37">
        <v>0</v>
      </c>
      <c r="H138" s="37">
        <v>0</v>
      </c>
    </row>
    <row r="139" spans="1:9" ht="47.25" x14ac:dyDescent="0.25">
      <c r="A139" s="63" t="s">
        <v>97</v>
      </c>
      <c r="B139" s="21" t="s">
        <v>110</v>
      </c>
      <c r="C139" s="21" t="s">
        <v>98</v>
      </c>
      <c r="D139" s="23" t="s">
        <v>99</v>
      </c>
      <c r="E139" s="21" t="s">
        <v>15</v>
      </c>
      <c r="F139" s="37">
        <v>100000</v>
      </c>
      <c r="G139" s="37">
        <v>100000</v>
      </c>
      <c r="H139" s="37">
        <v>100000</v>
      </c>
    </row>
    <row r="140" spans="1:9" ht="31.5" x14ac:dyDescent="0.25">
      <c r="A140" s="62" t="s">
        <v>202</v>
      </c>
      <c r="B140" s="23" t="s">
        <v>110</v>
      </c>
      <c r="C140" s="23" t="s">
        <v>203</v>
      </c>
      <c r="D140" s="23" t="s">
        <v>204</v>
      </c>
      <c r="E140" s="23" t="s">
        <v>70</v>
      </c>
      <c r="F140" s="18">
        <v>1864273.2</v>
      </c>
      <c r="G140" s="18">
        <v>1864273.2</v>
      </c>
      <c r="H140" s="18">
        <v>1864273.2</v>
      </c>
    </row>
    <row r="141" spans="1:9" ht="47.25" x14ac:dyDescent="0.25">
      <c r="A141" s="49" t="s">
        <v>205</v>
      </c>
      <c r="B141" s="41" t="s">
        <v>110</v>
      </c>
      <c r="C141" s="41" t="s">
        <v>206</v>
      </c>
      <c r="D141" s="21" t="s">
        <v>207</v>
      </c>
      <c r="E141" s="41" t="s">
        <v>70</v>
      </c>
      <c r="F141" s="42">
        <f>115864.56</f>
        <v>115864.56</v>
      </c>
      <c r="G141" s="42">
        <f>79656.89</f>
        <v>79656.89</v>
      </c>
      <c r="H141" s="42">
        <f>36207.68</f>
        <v>36207.68</v>
      </c>
    </row>
    <row r="142" spans="1:9" ht="78.75" x14ac:dyDescent="0.25">
      <c r="A142" s="58" t="s">
        <v>208</v>
      </c>
      <c r="B142" s="43" t="s">
        <v>110</v>
      </c>
      <c r="C142" s="43" t="s">
        <v>206</v>
      </c>
      <c r="D142" s="45" t="s">
        <v>209</v>
      </c>
      <c r="E142" s="43" t="s">
        <v>70</v>
      </c>
      <c r="F142" s="44">
        <f>86898.42</f>
        <v>86898.42</v>
      </c>
      <c r="G142" s="44">
        <f>37242.18</f>
        <v>37242.18</v>
      </c>
      <c r="H142" s="44">
        <f>49656.24</f>
        <v>49656.24</v>
      </c>
    </row>
    <row r="143" spans="1:9" ht="47.25" x14ac:dyDescent="0.25">
      <c r="A143" s="58" t="s">
        <v>210</v>
      </c>
      <c r="B143" s="26" t="s">
        <v>110</v>
      </c>
      <c r="C143" s="26" t="s">
        <v>206</v>
      </c>
      <c r="D143" s="26" t="s">
        <v>211</v>
      </c>
      <c r="E143" s="26" t="s">
        <v>39</v>
      </c>
      <c r="F143" s="27">
        <v>122500</v>
      </c>
      <c r="G143" s="27">
        <v>122500</v>
      </c>
      <c r="H143" s="27">
        <v>122500</v>
      </c>
    </row>
    <row r="144" spans="1:9" ht="63" x14ac:dyDescent="0.25">
      <c r="A144" s="58" t="s">
        <v>212</v>
      </c>
      <c r="B144" s="26" t="s">
        <v>110</v>
      </c>
      <c r="C144" s="26" t="s">
        <v>78</v>
      </c>
      <c r="D144" s="26" t="s">
        <v>213</v>
      </c>
      <c r="E144" s="26" t="s">
        <v>214</v>
      </c>
      <c r="F144" s="27">
        <v>944222.4</v>
      </c>
      <c r="G144" s="27">
        <v>1888444.8</v>
      </c>
      <c r="H144" s="27">
        <v>1888444.8</v>
      </c>
    </row>
    <row r="145" spans="1:8" ht="31.5" x14ac:dyDescent="0.25">
      <c r="A145" s="58" t="s">
        <v>215</v>
      </c>
      <c r="B145" s="26" t="s">
        <v>110</v>
      </c>
      <c r="C145" s="26" t="s">
        <v>216</v>
      </c>
      <c r="D145" s="26" t="s">
        <v>217</v>
      </c>
      <c r="E145" s="26" t="s">
        <v>15</v>
      </c>
      <c r="F145" s="27">
        <f>100000</f>
        <v>100000</v>
      </c>
      <c r="G145" s="27">
        <v>100000</v>
      </c>
      <c r="H145" s="27">
        <v>100000</v>
      </c>
    </row>
    <row r="146" spans="1:8" ht="15.75" x14ac:dyDescent="0.25">
      <c r="A146" s="8" t="s">
        <v>218</v>
      </c>
      <c r="B146" s="28"/>
      <c r="C146" s="28"/>
      <c r="D146" s="28"/>
      <c r="E146" s="28"/>
      <c r="F146" s="35">
        <f>F5+F66+F74+F79</f>
        <v>394448464.96999991</v>
      </c>
      <c r="G146" s="35">
        <f>G5+G66+G74+G79</f>
        <v>347633735.73999995</v>
      </c>
      <c r="H146" s="35">
        <f>H5+H66+H74+H79</f>
        <v>324606462.87</v>
      </c>
    </row>
  </sheetData>
  <mergeCells count="3">
    <mergeCell ref="F1:H1"/>
    <mergeCell ref="A2:H2"/>
    <mergeCell ref="G3:H3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zoomScale="70" zoomScaleNormal="70" workbookViewId="0">
      <selection activeCell="A3" sqref="A3:H3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SUM(F7:F7)</f>
        <v>989520</v>
      </c>
      <c r="G6" s="16">
        <f>SUM(G7:G7)</f>
        <v>989520</v>
      </c>
      <c r="H6" s="16">
        <f>SUM(H7:H7)</f>
        <v>989520</v>
      </c>
      <c r="L6" s="11"/>
      <c r="M6" s="11"/>
      <c r="N6" s="11"/>
    </row>
    <row r="7" spans="1:14" ht="47.25" x14ac:dyDescent="0.25">
      <c r="A7" s="49" t="s">
        <v>62</v>
      </c>
      <c r="B7" s="23" t="s">
        <v>9</v>
      </c>
      <c r="C7" s="23" t="s">
        <v>60</v>
      </c>
      <c r="D7" s="23" t="s">
        <v>63</v>
      </c>
      <c r="E7" s="23" t="s">
        <v>39</v>
      </c>
      <c r="F7" s="18">
        <f>651000+338520</f>
        <v>989520</v>
      </c>
      <c r="G7" s="18">
        <f t="shared" ref="G7:H7" si="0">651000+338520</f>
        <v>989520</v>
      </c>
      <c r="H7" s="18">
        <f t="shared" si="0"/>
        <v>989520</v>
      </c>
    </row>
    <row r="9" spans="1:14" ht="15.75" x14ac:dyDescent="0.25">
      <c r="A9" s="66" t="s">
        <v>278</v>
      </c>
      <c r="B9" s="66"/>
      <c r="C9" s="66"/>
      <c r="D9" s="66"/>
      <c r="E9" s="66"/>
      <c r="F9" s="66"/>
      <c r="G9" s="66"/>
      <c r="H9" s="66"/>
    </row>
    <row r="10" spans="1:14" ht="21.75" customHeight="1" x14ac:dyDescent="0.25">
      <c r="A10" s="86" t="s">
        <v>299</v>
      </c>
      <c r="B10" s="87"/>
      <c r="C10" s="87"/>
      <c r="D10" s="87"/>
      <c r="E10" s="87"/>
      <c r="F10" s="87"/>
      <c r="G10" s="87"/>
      <c r="H10" s="87"/>
    </row>
    <row r="11" spans="1:14" ht="13.5" customHeight="1" x14ac:dyDescent="0.25">
      <c r="A11" s="66"/>
      <c r="B11" s="66"/>
      <c r="C11" s="66"/>
      <c r="D11" s="66"/>
      <c r="E11" s="66"/>
      <c r="F11" s="66"/>
      <c r="G11" s="66"/>
      <c r="H11" s="66"/>
    </row>
    <row r="12" spans="1:14" ht="18" customHeight="1" x14ac:dyDescent="0.25">
      <c r="A12" s="86" t="s">
        <v>296</v>
      </c>
      <c r="B12" s="87"/>
      <c r="C12" s="87"/>
      <c r="D12" s="87"/>
      <c r="E12" s="87"/>
      <c r="F12" s="87"/>
      <c r="G12" s="87"/>
      <c r="H12" s="87"/>
    </row>
    <row r="13" spans="1:14" ht="18" customHeight="1" x14ac:dyDescent="0.25">
      <c r="A13" s="68"/>
      <c r="B13" s="65"/>
      <c r="C13" s="65"/>
      <c r="D13" s="65"/>
      <c r="E13" s="65"/>
      <c r="F13" s="65"/>
      <c r="G13" s="65"/>
      <c r="H13" s="65"/>
    </row>
    <row r="14" spans="1:14" ht="18" customHeight="1" x14ac:dyDescent="0.25">
      <c r="A14" s="86" t="s">
        <v>298</v>
      </c>
      <c r="B14" s="87"/>
      <c r="C14" s="87"/>
      <c r="D14" s="87"/>
      <c r="E14" s="87"/>
      <c r="F14" s="87"/>
      <c r="G14" s="87"/>
      <c r="H14" s="87"/>
    </row>
    <row r="15" spans="1:14" ht="18" customHeight="1" x14ac:dyDescent="0.25">
      <c r="A15" s="68"/>
      <c r="B15" s="65"/>
      <c r="C15" s="65"/>
      <c r="D15" s="65"/>
      <c r="E15" s="65"/>
      <c r="F15" s="65"/>
      <c r="G15" s="65"/>
      <c r="H15" s="65"/>
    </row>
    <row r="16" spans="1:14" ht="18" customHeight="1" x14ac:dyDescent="0.25">
      <c r="A16" s="86" t="s">
        <v>297</v>
      </c>
      <c r="B16" s="87"/>
      <c r="C16" s="87"/>
      <c r="D16" s="87"/>
      <c r="E16" s="87"/>
      <c r="F16" s="87"/>
      <c r="G16" s="87"/>
      <c r="H16" s="87"/>
    </row>
    <row r="17" spans="1:8" ht="35.25" customHeight="1" x14ac:dyDescent="0.25"/>
    <row r="18" spans="1:8" ht="63" customHeight="1" x14ac:dyDescent="0.4">
      <c r="A18" s="78" t="s">
        <v>277</v>
      </c>
      <c r="B18" s="79"/>
      <c r="C18" s="79"/>
      <c r="D18" s="79"/>
      <c r="E18" s="79"/>
      <c r="F18" s="79"/>
      <c r="G18" s="79"/>
      <c r="H18" s="79"/>
    </row>
  </sheetData>
  <mergeCells count="9">
    <mergeCell ref="A18:H18"/>
    <mergeCell ref="A14:H14"/>
    <mergeCell ref="A16:H16"/>
    <mergeCell ref="G4:H4"/>
    <mergeCell ref="A1:H1"/>
    <mergeCell ref="A2:H2"/>
    <mergeCell ref="A3:H3"/>
    <mergeCell ref="A10:H10"/>
    <mergeCell ref="A12:H12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zoomScale="70" zoomScaleNormal="70" workbookViewId="0">
      <selection activeCell="A10" sqref="A10:XFD10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SUM(F7:F7)</f>
        <v>52080</v>
      </c>
      <c r="G6" s="16">
        <f>SUM(G7:G7)</f>
        <v>52080</v>
      </c>
      <c r="H6" s="16">
        <f>SUM(H7:H7)</f>
        <v>52080</v>
      </c>
      <c r="L6" s="11"/>
      <c r="M6" s="11"/>
      <c r="N6" s="11"/>
    </row>
    <row r="7" spans="1:14" ht="63" x14ac:dyDescent="0.25">
      <c r="A7" s="49" t="s">
        <v>271</v>
      </c>
      <c r="B7" s="24" t="s">
        <v>9</v>
      </c>
      <c r="C7" s="24" t="s">
        <v>60</v>
      </c>
      <c r="D7" s="24" t="s">
        <v>64</v>
      </c>
      <c r="E7" s="24" t="s">
        <v>39</v>
      </c>
      <c r="F7" s="18">
        <v>52080</v>
      </c>
      <c r="G7" s="18">
        <v>52080</v>
      </c>
      <c r="H7" s="18">
        <v>52080</v>
      </c>
    </row>
    <row r="9" spans="1:14" ht="42" customHeight="1" x14ac:dyDescent="0.25"/>
    <row r="10" spans="1:14" ht="63" customHeight="1" x14ac:dyDescent="0.4">
      <c r="A10" s="78" t="s">
        <v>277</v>
      </c>
      <c r="B10" s="79"/>
      <c r="C10" s="79"/>
      <c r="D10" s="79"/>
      <c r="E10" s="79"/>
      <c r="F10" s="79"/>
      <c r="G10" s="79"/>
      <c r="H10" s="79"/>
    </row>
  </sheetData>
  <mergeCells count="5">
    <mergeCell ref="A10:H10"/>
    <mergeCell ref="A1:H1"/>
    <mergeCell ref="A2:H2"/>
    <mergeCell ref="A3:H3"/>
    <mergeCell ref="G4:H4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zoomScale="70" zoomScaleNormal="70" workbookViewId="0">
      <selection activeCell="A10" sqref="A10:H10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SUM(F7:F8)</f>
        <v>612452.05000000005</v>
      </c>
      <c r="G6" s="16">
        <f>SUM(G7:G8)</f>
        <v>0</v>
      </c>
      <c r="H6" s="16">
        <f>SUM(H7:H8)</f>
        <v>0</v>
      </c>
      <c r="L6" s="11"/>
      <c r="M6" s="11"/>
      <c r="N6" s="11"/>
    </row>
    <row r="7" spans="1:14" ht="94.5" x14ac:dyDescent="0.25">
      <c r="A7" s="57" t="s">
        <v>51</v>
      </c>
      <c r="B7" s="25" t="s">
        <v>9</v>
      </c>
      <c r="C7" s="25" t="s">
        <v>47</v>
      </c>
      <c r="D7" s="25" t="s">
        <v>52</v>
      </c>
      <c r="E7" s="25" t="s">
        <v>13</v>
      </c>
      <c r="F7" s="27">
        <f>357498.9+107964.66</f>
        <v>465463.56000000006</v>
      </c>
      <c r="G7" s="27">
        <v>0</v>
      </c>
      <c r="H7" s="27">
        <v>0</v>
      </c>
    </row>
    <row r="8" spans="1:14" ht="94.5" x14ac:dyDescent="0.25">
      <c r="A8" s="54" t="s">
        <v>53</v>
      </c>
      <c r="B8" s="24" t="s">
        <v>9</v>
      </c>
      <c r="C8" s="24" t="s">
        <v>47</v>
      </c>
      <c r="D8" s="24" t="s">
        <v>54</v>
      </c>
      <c r="E8" s="24" t="s">
        <v>13</v>
      </c>
      <c r="F8" s="18">
        <f>112894.38+34094.11</f>
        <v>146988.49</v>
      </c>
      <c r="G8" s="18">
        <v>0</v>
      </c>
      <c r="H8" s="18">
        <v>0</v>
      </c>
    </row>
    <row r="9" spans="1:14" ht="57.75" customHeight="1" x14ac:dyDescent="0.25">
      <c r="A9" s="70"/>
      <c r="B9" s="71"/>
      <c r="C9" s="71"/>
      <c r="D9" s="71"/>
      <c r="E9" s="71"/>
      <c r="F9" s="72"/>
      <c r="G9" s="72"/>
      <c r="H9" s="72"/>
    </row>
    <row r="10" spans="1:14" ht="63" customHeight="1" x14ac:dyDescent="0.4">
      <c r="A10" s="78" t="s">
        <v>277</v>
      </c>
      <c r="B10" s="79"/>
      <c r="C10" s="79"/>
      <c r="D10" s="79"/>
      <c r="E10" s="79"/>
      <c r="F10" s="79"/>
      <c r="G10" s="79"/>
      <c r="H10" s="79"/>
    </row>
  </sheetData>
  <mergeCells count="5">
    <mergeCell ref="A10:H10"/>
    <mergeCell ref="G4:H4"/>
    <mergeCell ref="A1:H1"/>
    <mergeCell ref="A2:H2"/>
    <mergeCell ref="A3:H3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zoomScale="70" zoomScaleNormal="70" workbookViewId="0">
      <selection activeCell="A10" sqref="A10:H10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SUM(F7:F8)</f>
        <v>573395.16</v>
      </c>
      <c r="G6" s="16">
        <f>SUM(G7:G8)</f>
        <v>0</v>
      </c>
      <c r="H6" s="16">
        <f>SUM(H7:H8)</f>
        <v>0</v>
      </c>
      <c r="L6" s="11"/>
      <c r="M6" s="11"/>
      <c r="N6" s="11"/>
    </row>
    <row r="7" spans="1:14" ht="94.5" x14ac:dyDescent="0.25">
      <c r="A7" s="57" t="s">
        <v>55</v>
      </c>
      <c r="B7" s="25" t="s">
        <v>9</v>
      </c>
      <c r="C7" s="25" t="s">
        <v>47</v>
      </c>
      <c r="D7" s="25" t="s">
        <v>56</v>
      </c>
      <c r="E7" s="25" t="s">
        <v>13</v>
      </c>
      <c r="F7" s="27">
        <v>544725.4</v>
      </c>
      <c r="G7" s="27">
        <v>0</v>
      </c>
      <c r="H7" s="27">
        <v>0</v>
      </c>
    </row>
    <row r="8" spans="1:14" ht="94.5" x14ac:dyDescent="0.25">
      <c r="A8" s="54" t="s">
        <v>57</v>
      </c>
      <c r="B8" s="24" t="s">
        <v>9</v>
      </c>
      <c r="C8" s="24" t="s">
        <v>47</v>
      </c>
      <c r="D8" s="24" t="s">
        <v>58</v>
      </c>
      <c r="E8" s="24" t="s">
        <v>13</v>
      </c>
      <c r="F8" s="18">
        <v>28669.759999999998</v>
      </c>
      <c r="G8" s="18">
        <v>0</v>
      </c>
      <c r="H8" s="18">
        <v>0</v>
      </c>
    </row>
    <row r="9" spans="1:14" ht="48.75" customHeight="1" x14ac:dyDescent="0.25">
      <c r="A9" s="70"/>
      <c r="B9" s="71"/>
      <c r="C9" s="71"/>
      <c r="D9" s="71"/>
      <c r="E9" s="71"/>
      <c r="F9" s="72"/>
      <c r="G9" s="72"/>
      <c r="H9" s="72"/>
    </row>
    <row r="10" spans="1:14" ht="63" customHeight="1" x14ac:dyDescent="0.4">
      <c r="A10" s="78" t="s">
        <v>277</v>
      </c>
      <c r="B10" s="79"/>
      <c r="C10" s="79"/>
      <c r="D10" s="79"/>
      <c r="E10" s="79"/>
      <c r="F10" s="79"/>
      <c r="G10" s="79"/>
      <c r="H10" s="79"/>
    </row>
  </sheetData>
  <mergeCells count="5">
    <mergeCell ref="A10:H10"/>
    <mergeCell ref="G4:H4"/>
    <mergeCell ref="A1:H1"/>
    <mergeCell ref="A2:H2"/>
    <mergeCell ref="A3:H3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8"/>
  <sheetViews>
    <sheetView tabSelected="1" topLeftCell="A142" zoomScale="80" zoomScaleNormal="80" workbookViewId="0">
      <selection activeCell="G145" sqref="G145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92.25" customHeight="1" x14ac:dyDescent="0.25">
      <c r="A1" s="1"/>
      <c r="B1" s="2"/>
      <c r="C1" s="2"/>
      <c r="D1" s="3"/>
      <c r="E1" s="2"/>
      <c r="F1" s="73" t="s">
        <v>274</v>
      </c>
      <c r="G1" s="74"/>
      <c r="H1" s="74"/>
    </row>
    <row r="2" spans="1:14" ht="36" customHeight="1" x14ac:dyDescent="0.3">
      <c r="A2" s="75" t="s">
        <v>248</v>
      </c>
      <c r="B2" s="76"/>
      <c r="C2" s="76"/>
      <c r="D2" s="76"/>
      <c r="E2" s="76"/>
      <c r="F2" s="76"/>
      <c r="G2" s="76"/>
      <c r="H2" s="76"/>
    </row>
    <row r="3" spans="1:14" ht="26.25" customHeight="1" x14ac:dyDescent="0.25">
      <c r="A3" s="89" t="s">
        <v>301</v>
      </c>
      <c r="B3" s="89"/>
      <c r="C3" s="89"/>
      <c r="D3" s="89"/>
      <c r="E3" s="89"/>
      <c r="F3" s="89"/>
      <c r="G3" s="89"/>
      <c r="H3" s="89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SUM(F7:F66)</f>
        <v>335852357.43999994</v>
      </c>
      <c r="G6" s="16">
        <f t="shared" ref="G6:H6" si="0">SUM(G7:G66)</f>
        <v>279703567.88</v>
      </c>
      <c r="H6" s="16">
        <f t="shared" si="0"/>
        <v>261154607.25</v>
      </c>
      <c r="L6" s="11"/>
      <c r="M6" s="11"/>
      <c r="N6" s="11"/>
    </row>
    <row r="7" spans="1:14" ht="63" x14ac:dyDescent="0.25">
      <c r="A7" s="48" t="s">
        <v>266</v>
      </c>
      <c r="B7" s="17" t="s">
        <v>9</v>
      </c>
      <c r="C7" s="17" t="s">
        <v>11</v>
      </c>
      <c r="D7" s="17" t="s">
        <v>267</v>
      </c>
      <c r="E7" s="17" t="s">
        <v>13</v>
      </c>
      <c r="F7" s="18">
        <f>1259382+146018+380333.88</f>
        <v>1785733.88</v>
      </c>
      <c r="G7" s="18">
        <f>1259382+153118+380333.4</f>
        <v>1792833.4</v>
      </c>
      <c r="H7" s="18">
        <f>1259242+161618+380333.4</f>
        <v>1801193.4</v>
      </c>
    </row>
    <row r="8" spans="1:14" ht="31.5" x14ac:dyDescent="0.25">
      <c r="A8" s="48" t="s">
        <v>268</v>
      </c>
      <c r="B8" s="17" t="s">
        <v>9</v>
      </c>
      <c r="C8" s="17" t="s">
        <v>11</v>
      </c>
      <c r="D8" s="17" t="s">
        <v>267</v>
      </c>
      <c r="E8" s="17" t="s">
        <v>15</v>
      </c>
      <c r="F8" s="18">
        <f>15550456.12+130000+734857.52</f>
        <v>16415313.639999999</v>
      </c>
      <c r="G8" s="18">
        <f>15546931.6+130000</f>
        <v>15676931.6</v>
      </c>
      <c r="H8" s="18">
        <f>15561171.6+130000</f>
        <v>15691171.6</v>
      </c>
    </row>
    <row r="9" spans="1:14" ht="15.75" x14ac:dyDescent="0.25">
      <c r="A9" s="48" t="s">
        <v>269</v>
      </c>
      <c r="B9" s="17" t="s">
        <v>9</v>
      </c>
      <c r="C9" s="17" t="s">
        <v>11</v>
      </c>
      <c r="D9" s="17" t="s">
        <v>267</v>
      </c>
      <c r="E9" s="17" t="s">
        <v>17</v>
      </c>
      <c r="F9" s="18">
        <f>135300</f>
        <v>135300</v>
      </c>
      <c r="G9" s="20">
        <f>135100</f>
        <v>135100</v>
      </c>
      <c r="H9" s="20">
        <f>135100</f>
        <v>135100</v>
      </c>
    </row>
    <row r="10" spans="1:14" ht="63" x14ac:dyDescent="0.25">
      <c r="A10" s="48" t="s">
        <v>10</v>
      </c>
      <c r="B10" s="17" t="s">
        <v>9</v>
      </c>
      <c r="C10" s="17" t="s">
        <v>11</v>
      </c>
      <c r="D10" s="17" t="s">
        <v>12</v>
      </c>
      <c r="E10" s="17" t="s">
        <v>13</v>
      </c>
      <c r="F10" s="18">
        <f>24762988.7+94952+7264106.48</f>
        <v>32122047.18</v>
      </c>
      <c r="G10" s="20">
        <f>23641830.26+91352+7129121.79</f>
        <v>30862304.050000001</v>
      </c>
      <c r="H10" s="20">
        <f>23641270.26+99812+7129121.79</f>
        <v>30870204.050000001</v>
      </c>
    </row>
    <row r="11" spans="1:14" ht="47.25" x14ac:dyDescent="0.25">
      <c r="A11" s="48" t="s">
        <v>14</v>
      </c>
      <c r="B11" s="21" t="s">
        <v>9</v>
      </c>
      <c r="C11" s="21" t="s">
        <v>11</v>
      </c>
      <c r="D11" s="21" t="s">
        <v>12</v>
      </c>
      <c r="E11" s="21" t="s">
        <v>15</v>
      </c>
      <c r="F11" s="18">
        <f>16543319.52+14953835.73+6595161.46+35000</f>
        <v>38127316.710000001</v>
      </c>
      <c r="G11" s="18">
        <f>5319784.08+16978205.85</f>
        <v>22297989.93</v>
      </c>
      <c r="H11" s="18">
        <f>9887479.51</f>
        <v>9887479.5099999998</v>
      </c>
    </row>
    <row r="12" spans="1:14" ht="31.5" x14ac:dyDescent="0.25">
      <c r="A12" s="48" t="s">
        <v>16</v>
      </c>
      <c r="B12" s="21" t="s">
        <v>9</v>
      </c>
      <c r="C12" s="21" t="s">
        <v>11</v>
      </c>
      <c r="D12" s="21" t="s">
        <v>12</v>
      </c>
      <c r="E12" s="21" t="s">
        <v>17</v>
      </c>
      <c r="F12" s="22">
        <f>339095+11000</f>
        <v>350095</v>
      </c>
      <c r="G12" s="22">
        <f>339795+11000</f>
        <v>350795</v>
      </c>
      <c r="H12" s="22">
        <f>340295+11000</f>
        <v>351295</v>
      </c>
    </row>
    <row r="13" spans="1:14" ht="126" x14ac:dyDescent="0.25">
      <c r="A13" s="48" t="s">
        <v>229</v>
      </c>
      <c r="B13" s="17" t="s">
        <v>9</v>
      </c>
      <c r="C13" s="17" t="s">
        <v>11</v>
      </c>
      <c r="D13" s="17" t="s">
        <v>18</v>
      </c>
      <c r="E13" s="17" t="s">
        <v>13</v>
      </c>
      <c r="F13" s="37">
        <v>58090603</v>
      </c>
      <c r="G13" s="37">
        <v>57865776</v>
      </c>
      <c r="H13" s="37">
        <f>44443760.37+13422015.63</f>
        <v>57865776</v>
      </c>
    </row>
    <row r="14" spans="1:14" ht="94.5" x14ac:dyDescent="0.25">
      <c r="A14" s="48" t="s">
        <v>230</v>
      </c>
      <c r="B14" s="17" t="s">
        <v>9</v>
      </c>
      <c r="C14" s="17" t="s">
        <v>11</v>
      </c>
      <c r="D14" s="17" t="s">
        <v>18</v>
      </c>
      <c r="E14" s="17" t="s">
        <v>15</v>
      </c>
      <c r="F14" s="37">
        <v>391254</v>
      </c>
      <c r="G14" s="37">
        <v>494100</v>
      </c>
      <c r="H14" s="37">
        <v>494100</v>
      </c>
    </row>
    <row r="15" spans="1:14" ht="47.25" x14ac:dyDescent="0.25">
      <c r="A15" s="48" t="s">
        <v>264</v>
      </c>
      <c r="B15" s="17" t="s">
        <v>9</v>
      </c>
      <c r="C15" s="17" t="s">
        <v>11</v>
      </c>
      <c r="D15" s="17" t="s">
        <v>263</v>
      </c>
      <c r="E15" s="17" t="s">
        <v>15</v>
      </c>
      <c r="F15" s="37">
        <v>6331074.5800000001</v>
      </c>
      <c r="G15" s="37">
        <v>0</v>
      </c>
      <c r="H15" s="37">
        <v>0</v>
      </c>
    </row>
    <row r="16" spans="1:14" ht="47.25" x14ac:dyDescent="0.25">
      <c r="A16" s="49" t="s">
        <v>261</v>
      </c>
      <c r="B16" s="23" t="s">
        <v>9</v>
      </c>
      <c r="C16" s="23" t="s">
        <v>11</v>
      </c>
      <c r="D16" s="23" t="s">
        <v>262</v>
      </c>
      <c r="E16" s="23" t="s">
        <v>15</v>
      </c>
      <c r="F16" s="18">
        <f>15000+789.48</f>
        <v>15789.48</v>
      </c>
      <c r="G16" s="18">
        <v>0</v>
      </c>
      <c r="H16" s="18">
        <v>0</v>
      </c>
    </row>
    <row r="17" spans="1:8" ht="126" x14ac:dyDescent="0.25">
      <c r="A17" s="50" t="s">
        <v>19</v>
      </c>
      <c r="B17" s="17" t="s">
        <v>9</v>
      </c>
      <c r="C17" s="17" t="s">
        <v>11</v>
      </c>
      <c r="D17" s="17" t="s">
        <v>20</v>
      </c>
      <c r="E17" s="17" t="s">
        <v>13</v>
      </c>
      <c r="F17" s="37">
        <v>182280</v>
      </c>
      <c r="G17" s="37">
        <v>171864</v>
      </c>
      <c r="H17" s="37">
        <v>171864</v>
      </c>
    </row>
    <row r="18" spans="1:8" ht="110.25" x14ac:dyDescent="0.25">
      <c r="A18" s="50" t="s">
        <v>21</v>
      </c>
      <c r="B18" s="17" t="s">
        <v>9</v>
      </c>
      <c r="C18" s="17" t="s">
        <v>11</v>
      </c>
      <c r="D18" s="17" t="s">
        <v>20</v>
      </c>
      <c r="E18" s="17" t="s">
        <v>15</v>
      </c>
      <c r="F18" s="37">
        <v>389827</v>
      </c>
      <c r="G18" s="37">
        <v>390515</v>
      </c>
      <c r="H18" s="37">
        <v>390515</v>
      </c>
    </row>
    <row r="19" spans="1:8" ht="31.5" x14ac:dyDescent="0.25">
      <c r="A19" s="51" t="s">
        <v>22</v>
      </c>
      <c r="B19" s="23" t="s">
        <v>9</v>
      </c>
      <c r="C19" s="23" t="s">
        <v>11</v>
      </c>
      <c r="D19" s="23" t="s">
        <v>23</v>
      </c>
      <c r="E19" s="23" t="s">
        <v>15</v>
      </c>
      <c r="F19" s="18">
        <f>5288199.46-5288199.46+1308099.46</f>
        <v>1308099.46</v>
      </c>
      <c r="G19" s="18">
        <f>1392524.75-1392524.75</f>
        <v>0</v>
      </c>
      <c r="H19" s="18">
        <f>1362604.12-1362604.12</f>
        <v>0</v>
      </c>
    </row>
    <row r="20" spans="1:8" ht="31.5" x14ac:dyDescent="0.25">
      <c r="A20" s="52" t="s">
        <v>26</v>
      </c>
      <c r="B20" s="23" t="s">
        <v>9</v>
      </c>
      <c r="C20" s="23" t="s">
        <v>11</v>
      </c>
      <c r="D20" s="23" t="s">
        <v>27</v>
      </c>
      <c r="E20" s="23" t="s">
        <v>15</v>
      </c>
      <c r="F20" s="18">
        <f>281000-231000</f>
        <v>50000</v>
      </c>
      <c r="G20" s="18">
        <v>450000</v>
      </c>
      <c r="H20" s="18">
        <v>0</v>
      </c>
    </row>
    <row r="21" spans="1:8" ht="31.5" x14ac:dyDescent="0.25">
      <c r="A21" s="52" t="s">
        <v>28</v>
      </c>
      <c r="B21" s="23" t="s">
        <v>9</v>
      </c>
      <c r="C21" s="23" t="s">
        <v>11</v>
      </c>
      <c r="D21" s="23" t="s">
        <v>29</v>
      </c>
      <c r="E21" s="23" t="s">
        <v>15</v>
      </c>
      <c r="F21" s="18">
        <f>1200696.5-265300</f>
        <v>935396.5</v>
      </c>
      <c r="G21" s="18">
        <v>989899</v>
      </c>
      <c r="H21" s="18">
        <v>999379</v>
      </c>
    </row>
    <row r="22" spans="1:8" ht="63" x14ac:dyDescent="0.25">
      <c r="A22" s="48" t="s">
        <v>266</v>
      </c>
      <c r="B22" s="17" t="s">
        <v>9</v>
      </c>
      <c r="C22" s="17" t="s">
        <v>30</v>
      </c>
      <c r="D22" s="17" t="s">
        <v>270</v>
      </c>
      <c r="E22" s="17" t="s">
        <v>13</v>
      </c>
      <c r="F22" s="18">
        <f>66657.33+20130.11+621.08+187.57</f>
        <v>87596.090000000011</v>
      </c>
      <c r="G22" s="18">
        <f>66657.33+20130.11</f>
        <v>86787.44</v>
      </c>
      <c r="H22" s="18">
        <f>66657.33+20130.11</f>
        <v>86787.44</v>
      </c>
    </row>
    <row r="23" spans="1:8" ht="31.5" x14ac:dyDescent="0.25">
      <c r="A23" s="48" t="s">
        <v>268</v>
      </c>
      <c r="B23" s="17" t="s">
        <v>9</v>
      </c>
      <c r="C23" s="17" t="s">
        <v>30</v>
      </c>
      <c r="D23" s="17" t="s">
        <v>270</v>
      </c>
      <c r="E23" s="17" t="s">
        <v>15</v>
      </c>
      <c r="F23" s="18">
        <f>1481752.56+26712.45</f>
        <v>1508465.01</v>
      </c>
      <c r="G23" s="18">
        <f>1451507.56</f>
        <v>1451507.56</v>
      </c>
      <c r="H23" s="18">
        <f>1451507.56</f>
        <v>1451507.56</v>
      </c>
    </row>
    <row r="24" spans="1:8" ht="63" x14ac:dyDescent="0.25">
      <c r="A24" s="52" t="s">
        <v>31</v>
      </c>
      <c r="B24" s="23" t="s">
        <v>9</v>
      </c>
      <c r="C24" s="23" t="s">
        <v>30</v>
      </c>
      <c r="D24" s="23" t="s">
        <v>32</v>
      </c>
      <c r="E24" s="23" t="s">
        <v>13</v>
      </c>
      <c r="F24" s="18">
        <f>8132868.21+103096+2456126.2</f>
        <v>10692090.41</v>
      </c>
      <c r="G24" s="18">
        <f>7938848.94+82106.43+2397533.35</f>
        <v>10418488.720000001</v>
      </c>
      <c r="H24" s="18">
        <f>7938848.94+116404+2372943.78</f>
        <v>10428196.720000001</v>
      </c>
    </row>
    <row r="25" spans="1:8" ht="47.25" x14ac:dyDescent="0.25">
      <c r="A25" s="52" t="s">
        <v>33</v>
      </c>
      <c r="B25" s="23" t="s">
        <v>9</v>
      </c>
      <c r="C25" s="23" t="s">
        <v>30</v>
      </c>
      <c r="D25" s="23" t="s">
        <v>32</v>
      </c>
      <c r="E25" s="23" t="s">
        <v>15</v>
      </c>
      <c r="F25" s="18">
        <f>7738318.49+14103473.28-7980+6648656.66+318.56</f>
        <v>28482786.989999998</v>
      </c>
      <c r="G25" s="18">
        <f>8058311.53+474</f>
        <v>8058785.5300000003</v>
      </c>
      <c r="H25" s="18">
        <f>4621399.9</f>
        <v>4621399.9000000004</v>
      </c>
    </row>
    <row r="26" spans="1:8" ht="31.5" x14ac:dyDescent="0.25">
      <c r="A26" s="53" t="s">
        <v>34</v>
      </c>
      <c r="B26" s="24" t="s">
        <v>9</v>
      </c>
      <c r="C26" s="24" t="s">
        <v>30</v>
      </c>
      <c r="D26" s="24" t="s">
        <v>32</v>
      </c>
      <c r="E26" s="24" t="s">
        <v>17</v>
      </c>
      <c r="F26" s="18">
        <v>726958.82</v>
      </c>
      <c r="G26" s="18">
        <f>723801.82</f>
        <v>723801.82</v>
      </c>
      <c r="H26" s="18">
        <f>720651.82</f>
        <v>720651.82</v>
      </c>
    </row>
    <row r="27" spans="1:8" ht="110.25" x14ac:dyDescent="0.25">
      <c r="A27" s="48" t="s">
        <v>236</v>
      </c>
      <c r="B27" s="24" t="s">
        <v>9</v>
      </c>
      <c r="C27" s="24" t="s">
        <v>30</v>
      </c>
      <c r="D27" s="24" t="s">
        <v>35</v>
      </c>
      <c r="E27" s="24" t="s">
        <v>13</v>
      </c>
      <c r="F27" s="18">
        <v>7343280</v>
      </c>
      <c r="G27" s="18">
        <v>7343280</v>
      </c>
      <c r="H27" s="18">
        <v>7265160</v>
      </c>
    </row>
    <row r="28" spans="1:8" ht="157.5" x14ac:dyDescent="0.25">
      <c r="A28" s="49" t="s">
        <v>237</v>
      </c>
      <c r="B28" s="24" t="s">
        <v>9</v>
      </c>
      <c r="C28" s="24" t="s">
        <v>30</v>
      </c>
      <c r="D28" s="24" t="s">
        <v>36</v>
      </c>
      <c r="E28" s="24" t="s">
        <v>13</v>
      </c>
      <c r="F28" s="18">
        <v>68692613.5</v>
      </c>
      <c r="G28" s="18">
        <f>47619322.58+14381035.42</f>
        <v>62000358</v>
      </c>
      <c r="H28" s="18">
        <f>47619322.58+14381035.42</f>
        <v>62000358</v>
      </c>
    </row>
    <row r="29" spans="1:8" ht="126" x14ac:dyDescent="0.25">
      <c r="A29" s="49" t="s">
        <v>238</v>
      </c>
      <c r="B29" s="24" t="s">
        <v>9</v>
      </c>
      <c r="C29" s="24" t="s">
        <v>30</v>
      </c>
      <c r="D29" s="24" t="s">
        <v>36</v>
      </c>
      <c r="E29" s="24" t="s">
        <v>15</v>
      </c>
      <c r="F29" s="18">
        <v>2098694</v>
      </c>
      <c r="G29" s="18">
        <v>2036580</v>
      </c>
      <c r="H29" s="18">
        <v>2036580</v>
      </c>
    </row>
    <row r="30" spans="1:8" ht="126" x14ac:dyDescent="0.25">
      <c r="A30" s="54" t="s">
        <v>37</v>
      </c>
      <c r="B30" s="25" t="s">
        <v>9</v>
      </c>
      <c r="C30" s="25" t="s">
        <v>30</v>
      </c>
      <c r="D30" s="25" t="s">
        <v>38</v>
      </c>
      <c r="E30" s="25" t="s">
        <v>39</v>
      </c>
      <c r="F30" s="27">
        <v>1733573.5</v>
      </c>
      <c r="G30" s="27">
        <v>1399877</v>
      </c>
      <c r="H30" s="27">
        <v>1399877</v>
      </c>
    </row>
    <row r="31" spans="1:8" ht="95.25" customHeight="1" x14ac:dyDescent="0.25">
      <c r="A31" s="48" t="s">
        <v>239</v>
      </c>
      <c r="B31" s="26" t="s">
        <v>9</v>
      </c>
      <c r="C31" s="26" t="s">
        <v>30</v>
      </c>
      <c r="D31" s="26" t="s">
        <v>40</v>
      </c>
      <c r="E31" s="26" t="s">
        <v>15</v>
      </c>
      <c r="F31" s="27">
        <f>10210679+37618.29</f>
        <v>10248297.289999999</v>
      </c>
      <c r="G31" s="27">
        <f>10619171+39123.26</f>
        <v>10658294.26</v>
      </c>
      <c r="H31" s="27">
        <f>10917435+40222.13</f>
        <v>10957657.130000001</v>
      </c>
    </row>
    <row r="32" spans="1:8" ht="47.25" x14ac:dyDescent="0.25">
      <c r="A32" s="48" t="s">
        <v>272</v>
      </c>
      <c r="B32" s="26" t="s">
        <v>9</v>
      </c>
      <c r="C32" s="26" t="s">
        <v>30</v>
      </c>
      <c r="D32" s="26" t="s">
        <v>41</v>
      </c>
      <c r="E32" s="26" t="s">
        <v>15</v>
      </c>
      <c r="F32" s="27">
        <f>15000+789.48+14210.58</f>
        <v>30000.059999999998</v>
      </c>
      <c r="G32" s="27">
        <v>0</v>
      </c>
      <c r="H32" s="27">
        <v>0</v>
      </c>
    </row>
    <row r="33" spans="1:8" ht="31.5" x14ac:dyDescent="0.25">
      <c r="A33" s="55" t="s">
        <v>22</v>
      </c>
      <c r="B33" s="24" t="s">
        <v>9</v>
      </c>
      <c r="C33" s="24" t="s">
        <v>30</v>
      </c>
      <c r="D33" s="24" t="s">
        <v>23</v>
      </c>
      <c r="E33" s="24" t="s">
        <v>15</v>
      </c>
      <c r="F33" s="18">
        <f>8846624.26-8846624.26+976159.26</f>
        <v>976159.26</v>
      </c>
      <c r="G33" s="18">
        <f>2715891.76-2715891.76</f>
        <v>0</v>
      </c>
      <c r="H33" s="18">
        <f>2880064.06-2880064.06</f>
        <v>0</v>
      </c>
    </row>
    <row r="34" spans="1:8" ht="63" x14ac:dyDescent="0.25">
      <c r="A34" s="56" t="s">
        <v>228</v>
      </c>
      <c r="B34" s="26" t="s">
        <v>9</v>
      </c>
      <c r="C34" s="26" t="s">
        <v>30</v>
      </c>
      <c r="D34" s="26" t="s">
        <v>223</v>
      </c>
      <c r="E34" s="26" t="s">
        <v>15</v>
      </c>
      <c r="F34" s="27">
        <f>1568745.8+158.46-1568745.8-158.46</f>
        <v>-3.7260861063259654E-11</v>
      </c>
      <c r="G34" s="27">
        <v>0</v>
      </c>
      <c r="H34" s="27">
        <v>0</v>
      </c>
    </row>
    <row r="35" spans="1:8" ht="47.25" x14ac:dyDescent="0.25">
      <c r="A35" s="56" t="s">
        <v>226</v>
      </c>
      <c r="B35" s="26" t="s">
        <v>9</v>
      </c>
      <c r="C35" s="26" t="s">
        <v>30</v>
      </c>
      <c r="D35" s="26" t="s">
        <v>224</v>
      </c>
      <c r="E35" s="26" t="s">
        <v>15</v>
      </c>
      <c r="F35" s="27">
        <f>2408919.2+243.33+1435580</f>
        <v>3844742.5300000003</v>
      </c>
      <c r="G35" s="27">
        <f>2363292.93+238.72</f>
        <v>2363531.6500000004</v>
      </c>
      <c r="H35" s="27">
        <v>0</v>
      </c>
    </row>
    <row r="36" spans="1:8" ht="31.5" x14ac:dyDescent="0.25">
      <c r="A36" s="57" t="s">
        <v>44</v>
      </c>
      <c r="B36" s="25" t="s">
        <v>9</v>
      </c>
      <c r="C36" s="25" t="s">
        <v>30</v>
      </c>
      <c r="D36" s="25" t="s">
        <v>45</v>
      </c>
      <c r="E36" s="25" t="s">
        <v>15</v>
      </c>
      <c r="F36" s="27">
        <v>34000</v>
      </c>
      <c r="G36" s="27">
        <v>37000</v>
      </c>
      <c r="H36" s="27">
        <v>40000</v>
      </c>
    </row>
    <row r="37" spans="1:8" ht="31.5" x14ac:dyDescent="0.25">
      <c r="A37" s="58" t="s">
        <v>28</v>
      </c>
      <c r="B37" s="26" t="s">
        <v>9</v>
      </c>
      <c r="C37" s="26" t="s">
        <v>30</v>
      </c>
      <c r="D37" s="26" t="s">
        <v>29</v>
      </c>
      <c r="E37" s="26" t="s">
        <v>15</v>
      </c>
      <c r="F37" s="27">
        <f>1102142-210100</f>
        <v>892042</v>
      </c>
      <c r="G37" s="27">
        <v>917236</v>
      </c>
      <c r="H37" s="27">
        <v>873384</v>
      </c>
    </row>
    <row r="38" spans="1:8" ht="63" x14ac:dyDescent="0.25">
      <c r="A38" s="58" t="s">
        <v>46</v>
      </c>
      <c r="B38" s="26" t="s">
        <v>9</v>
      </c>
      <c r="C38" s="26" t="s">
        <v>47</v>
      </c>
      <c r="D38" s="26" t="s">
        <v>48</v>
      </c>
      <c r="E38" s="26" t="s">
        <v>13</v>
      </c>
      <c r="F38" s="27">
        <f>7430433.57+10350+2238554.94</f>
        <v>9679338.5099999998</v>
      </c>
      <c r="G38" s="27">
        <f>8392427.21+10350+2529000.73</f>
        <v>10931777.940000001</v>
      </c>
      <c r="H38" s="27">
        <f>8392427.21+10350+2529000.73</f>
        <v>10931777.940000001</v>
      </c>
    </row>
    <row r="39" spans="1:8" ht="47.25" x14ac:dyDescent="0.25">
      <c r="A39" s="58" t="s">
        <v>49</v>
      </c>
      <c r="B39" s="26" t="s">
        <v>9</v>
      </c>
      <c r="C39" s="26" t="s">
        <v>47</v>
      </c>
      <c r="D39" s="26" t="s">
        <v>48</v>
      </c>
      <c r="E39" s="26" t="s">
        <v>15</v>
      </c>
      <c r="F39" s="27">
        <f>1239247.22+219242.62</f>
        <v>1458489.8399999999</v>
      </c>
      <c r="G39" s="27">
        <f>1001238.28+201265.58</f>
        <v>1202503.8600000001</v>
      </c>
      <c r="H39" s="27">
        <f>201265.58+852662.28</f>
        <v>1053927.8600000001</v>
      </c>
    </row>
    <row r="40" spans="1:8" ht="31.5" x14ac:dyDescent="0.25">
      <c r="A40" s="57" t="s">
        <v>50</v>
      </c>
      <c r="B40" s="25" t="s">
        <v>9</v>
      </c>
      <c r="C40" s="25" t="s">
        <v>47</v>
      </c>
      <c r="D40" s="25" t="s">
        <v>48</v>
      </c>
      <c r="E40" s="25" t="s">
        <v>17</v>
      </c>
      <c r="F40" s="27">
        <f>250</f>
        <v>250</v>
      </c>
      <c r="G40" s="27">
        <f>1250</f>
        <v>1250</v>
      </c>
      <c r="H40" s="27">
        <f>1250</f>
        <v>1250</v>
      </c>
    </row>
    <row r="41" spans="1:8" ht="94.5" x14ac:dyDescent="0.25">
      <c r="A41" s="57" t="s">
        <v>51</v>
      </c>
      <c r="B41" s="25" t="s">
        <v>9</v>
      </c>
      <c r="C41" s="25" t="s">
        <v>47</v>
      </c>
      <c r="D41" s="25" t="s">
        <v>52</v>
      </c>
      <c r="E41" s="25" t="s">
        <v>13</v>
      </c>
      <c r="F41" s="27">
        <f>357498.9+107964.66</f>
        <v>465463.56000000006</v>
      </c>
      <c r="G41" s="27">
        <v>0</v>
      </c>
      <c r="H41" s="27">
        <v>0</v>
      </c>
    </row>
    <row r="42" spans="1:8" ht="94.5" x14ac:dyDescent="0.25">
      <c r="A42" s="57" t="s">
        <v>53</v>
      </c>
      <c r="B42" s="25" t="s">
        <v>9</v>
      </c>
      <c r="C42" s="25" t="s">
        <v>47</v>
      </c>
      <c r="D42" s="25" t="s">
        <v>54</v>
      </c>
      <c r="E42" s="25" t="s">
        <v>13</v>
      </c>
      <c r="F42" s="27">
        <f>112894.38+34094.11</f>
        <v>146988.49</v>
      </c>
      <c r="G42" s="27">
        <v>0</v>
      </c>
      <c r="H42" s="27">
        <v>0</v>
      </c>
    </row>
    <row r="43" spans="1:8" ht="94.5" x14ac:dyDescent="0.25">
      <c r="A43" s="57" t="s">
        <v>55</v>
      </c>
      <c r="B43" s="25" t="s">
        <v>9</v>
      </c>
      <c r="C43" s="25" t="s">
        <v>47</v>
      </c>
      <c r="D43" s="25" t="s">
        <v>56</v>
      </c>
      <c r="E43" s="25" t="s">
        <v>13</v>
      </c>
      <c r="F43" s="27">
        <v>544725.4</v>
      </c>
      <c r="G43" s="27">
        <v>0</v>
      </c>
      <c r="H43" s="27">
        <v>0</v>
      </c>
    </row>
    <row r="44" spans="1:8" ht="94.5" x14ac:dyDescent="0.25">
      <c r="A44" s="57" t="s">
        <v>57</v>
      </c>
      <c r="B44" s="25" t="s">
        <v>9</v>
      </c>
      <c r="C44" s="25" t="s">
        <v>47</v>
      </c>
      <c r="D44" s="25" t="s">
        <v>58</v>
      </c>
      <c r="E44" s="25" t="s">
        <v>13</v>
      </c>
      <c r="F44" s="27">
        <v>28669.759999999998</v>
      </c>
      <c r="G44" s="27">
        <v>0</v>
      </c>
      <c r="H44" s="27">
        <v>0</v>
      </c>
    </row>
    <row r="45" spans="1:8" ht="31.5" x14ac:dyDescent="0.25">
      <c r="A45" s="58" t="s">
        <v>22</v>
      </c>
      <c r="B45" s="26" t="s">
        <v>9</v>
      </c>
      <c r="C45" s="26" t="s">
        <v>47</v>
      </c>
      <c r="D45" s="26" t="s">
        <v>23</v>
      </c>
      <c r="E45" s="26" t="s">
        <v>15</v>
      </c>
      <c r="F45" s="27">
        <f>269143-43482.6-155110.4</f>
        <v>70550</v>
      </c>
      <c r="G45" s="27">
        <f>67580</f>
        <v>67580</v>
      </c>
      <c r="H45" s="27">
        <f>73399</f>
        <v>73399</v>
      </c>
    </row>
    <row r="46" spans="1:8" ht="31.5" x14ac:dyDescent="0.25">
      <c r="A46" s="51" t="s">
        <v>24</v>
      </c>
      <c r="B46" s="26" t="s">
        <v>9</v>
      </c>
      <c r="C46" s="26" t="s">
        <v>47</v>
      </c>
      <c r="D46" s="26" t="s">
        <v>25</v>
      </c>
      <c r="E46" s="26" t="s">
        <v>15</v>
      </c>
      <c r="F46" s="27">
        <f>100000-100000</f>
        <v>0</v>
      </c>
      <c r="G46" s="27">
        <v>70000</v>
      </c>
      <c r="H46" s="27">
        <v>0</v>
      </c>
    </row>
    <row r="47" spans="1:8" ht="47.25" x14ac:dyDescent="0.25">
      <c r="A47" s="51" t="s">
        <v>240</v>
      </c>
      <c r="B47" s="26" t="s">
        <v>9</v>
      </c>
      <c r="C47" s="26" t="s">
        <v>47</v>
      </c>
      <c r="D47" s="26" t="s">
        <v>232</v>
      </c>
      <c r="E47" s="26" t="s">
        <v>15</v>
      </c>
      <c r="F47" s="27">
        <v>0</v>
      </c>
      <c r="G47" s="27">
        <f>273605.2+28</f>
        <v>273633.2</v>
      </c>
      <c r="H47" s="27">
        <f>272915.4+28</f>
        <v>272943.40000000002</v>
      </c>
    </row>
    <row r="48" spans="1:8" ht="31.5" x14ac:dyDescent="0.25">
      <c r="A48" s="51" t="s">
        <v>28</v>
      </c>
      <c r="B48" s="26" t="s">
        <v>9</v>
      </c>
      <c r="C48" s="26" t="s">
        <v>47</v>
      </c>
      <c r="D48" s="26" t="s">
        <v>29</v>
      </c>
      <c r="E48" s="26" t="s">
        <v>15</v>
      </c>
      <c r="F48" s="27">
        <v>140760</v>
      </c>
      <c r="G48" s="27">
        <v>84475</v>
      </c>
      <c r="H48" s="27">
        <v>126660</v>
      </c>
    </row>
    <row r="49" spans="1:8" ht="31.5" x14ac:dyDescent="0.25">
      <c r="A49" s="49" t="s">
        <v>59</v>
      </c>
      <c r="B49" s="23" t="s">
        <v>9</v>
      </c>
      <c r="C49" s="23" t="s">
        <v>60</v>
      </c>
      <c r="D49" s="23" t="s">
        <v>61</v>
      </c>
      <c r="E49" s="23" t="s">
        <v>15</v>
      </c>
      <c r="F49" s="18">
        <v>150000</v>
      </c>
      <c r="G49" s="18">
        <v>150000</v>
      </c>
      <c r="H49" s="18">
        <v>155000</v>
      </c>
    </row>
    <row r="50" spans="1:8" ht="47.25" x14ac:dyDescent="0.25">
      <c r="A50" s="49" t="s">
        <v>62</v>
      </c>
      <c r="B50" s="23" t="s">
        <v>9</v>
      </c>
      <c r="C50" s="23" t="s">
        <v>60</v>
      </c>
      <c r="D50" s="23" t="s">
        <v>63</v>
      </c>
      <c r="E50" s="23" t="s">
        <v>39</v>
      </c>
      <c r="F50" s="18">
        <f>651000+338520</f>
        <v>989520</v>
      </c>
      <c r="G50" s="18">
        <f t="shared" ref="G50:H50" si="1">651000+338520</f>
        <v>989520</v>
      </c>
      <c r="H50" s="18">
        <f t="shared" si="1"/>
        <v>989520</v>
      </c>
    </row>
    <row r="51" spans="1:8" ht="63" x14ac:dyDescent="0.25">
      <c r="A51" s="49" t="s">
        <v>271</v>
      </c>
      <c r="B51" s="24" t="s">
        <v>9</v>
      </c>
      <c r="C51" s="24" t="s">
        <v>60</v>
      </c>
      <c r="D51" s="24" t="s">
        <v>64</v>
      </c>
      <c r="E51" s="24" t="s">
        <v>39</v>
      </c>
      <c r="F51" s="18">
        <v>52080</v>
      </c>
      <c r="G51" s="18">
        <v>52080</v>
      </c>
      <c r="H51" s="18">
        <v>52080</v>
      </c>
    </row>
    <row r="52" spans="1:8" ht="47.25" x14ac:dyDescent="0.25">
      <c r="A52" s="52" t="s">
        <v>65</v>
      </c>
      <c r="B52" s="24" t="s">
        <v>9</v>
      </c>
      <c r="C52" s="24" t="s">
        <v>66</v>
      </c>
      <c r="D52" s="24" t="s">
        <v>32</v>
      </c>
      <c r="E52" s="24" t="s">
        <v>39</v>
      </c>
      <c r="F52" s="18">
        <f>8792506.97+1700500-1700500+1164500</f>
        <v>9957006.9700000007</v>
      </c>
      <c r="G52" s="18">
        <f>8792506.97</f>
        <v>8792506.9700000007</v>
      </c>
      <c r="H52" s="18">
        <f>8792506.97</f>
        <v>8792506.9700000007</v>
      </c>
    </row>
    <row r="53" spans="1:8" ht="47.25" x14ac:dyDescent="0.25">
      <c r="A53" s="52" t="s">
        <v>227</v>
      </c>
      <c r="B53" s="23" t="s">
        <v>9</v>
      </c>
      <c r="C53" s="23" t="s">
        <v>66</v>
      </c>
      <c r="D53" s="23" t="s">
        <v>225</v>
      </c>
      <c r="E53" s="23" t="s">
        <v>15</v>
      </c>
      <c r="F53" s="18">
        <f>1584407.41+160.1-1584407.41-160.1</f>
        <v>9.3137941803433932E-11</v>
      </c>
      <c r="G53" s="18">
        <f>4691028.6+474-4691028.6-474</f>
        <v>0</v>
      </c>
      <c r="H53" s="18">
        <v>0</v>
      </c>
    </row>
    <row r="54" spans="1:8" ht="63" x14ac:dyDescent="0.25">
      <c r="A54" s="55" t="s">
        <v>257</v>
      </c>
      <c r="B54" s="24" t="s">
        <v>9</v>
      </c>
      <c r="C54" s="24" t="s">
        <v>66</v>
      </c>
      <c r="D54" s="24" t="s">
        <v>68</v>
      </c>
      <c r="E54" s="24" t="s">
        <v>13</v>
      </c>
      <c r="F54" s="18">
        <v>6000</v>
      </c>
      <c r="G54" s="18">
        <v>6000</v>
      </c>
      <c r="H54" s="18">
        <v>6000</v>
      </c>
    </row>
    <row r="55" spans="1:8" ht="31.5" x14ac:dyDescent="0.25">
      <c r="A55" s="55" t="s">
        <v>67</v>
      </c>
      <c r="B55" s="24" t="s">
        <v>9</v>
      </c>
      <c r="C55" s="24" t="s">
        <v>66</v>
      </c>
      <c r="D55" s="24" t="s">
        <v>68</v>
      </c>
      <c r="E55" s="24" t="s">
        <v>15</v>
      </c>
      <c r="F55" s="18">
        <v>179057</v>
      </c>
      <c r="G55" s="18">
        <v>179057</v>
      </c>
      <c r="H55" s="18">
        <v>179057</v>
      </c>
    </row>
    <row r="56" spans="1:8" ht="31.5" x14ac:dyDescent="0.25">
      <c r="A56" s="55" t="s">
        <v>69</v>
      </c>
      <c r="B56" s="24" t="s">
        <v>9</v>
      </c>
      <c r="C56" s="24" t="s">
        <v>66</v>
      </c>
      <c r="D56" s="24" t="s">
        <v>68</v>
      </c>
      <c r="E56" s="24" t="s">
        <v>70</v>
      </c>
      <c r="F56" s="18">
        <v>114943</v>
      </c>
      <c r="G56" s="18">
        <v>114943</v>
      </c>
      <c r="H56" s="18">
        <v>114943</v>
      </c>
    </row>
    <row r="57" spans="1:8" ht="47.25" x14ac:dyDescent="0.25">
      <c r="A57" s="55" t="s">
        <v>42</v>
      </c>
      <c r="B57" s="24" t="s">
        <v>9</v>
      </c>
      <c r="C57" s="24" t="s">
        <v>66</v>
      </c>
      <c r="D57" s="24" t="s">
        <v>43</v>
      </c>
      <c r="E57" s="24" t="s">
        <v>13</v>
      </c>
      <c r="F57" s="18">
        <f>85299.54+16700.46</f>
        <v>102000</v>
      </c>
      <c r="G57" s="18">
        <f t="shared" ref="G57:H57" si="2">85299.54+16700.46</f>
        <v>102000</v>
      </c>
      <c r="H57" s="18">
        <f t="shared" si="2"/>
        <v>102000</v>
      </c>
    </row>
    <row r="58" spans="1:8" ht="31.5" x14ac:dyDescent="0.25">
      <c r="A58" s="55" t="s">
        <v>71</v>
      </c>
      <c r="B58" s="24" t="s">
        <v>9</v>
      </c>
      <c r="C58" s="24" t="s">
        <v>66</v>
      </c>
      <c r="D58" s="24" t="s">
        <v>43</v>
      </c>
      <c r="E58" s="24" t="s">
        <v>15</v>
      </c>
      <c r="F58" s="18">
        <v>35000</v>
      </c>
      <c r="G58" s="18">
        <v>35000</v>
      </c>
      <c r="H58" s="18">
        <v>35000</v>
      </c>
    </row>
    <row r="59" spans="1:8" ht="31.5" x14ac:dyDescent="0.25">
      <c r="A59" s="55" t="s">
        <v>72</v>
      </c>
      <c r="B59" s="24" t="s">
        <v>9</v>
      </c>
      <c r="C59" s="24" t="s">
        <v>66</v>
      </c>
      <c r="D59" s="24" t="s">
        <v>43</v>
      </c>
      <c r="E59" s="24" t="s">
        <v>70</v>
      </c>
      <c r="F59" s="18">
        <v>35000</v>
      </c>
      <c r="G59" s="18">
        <v>35000</v>
      </c>
      <c r="H59" s="18">
        <v>35000</v>
      </c>
    </row>
    <row r="60" spans="1:8" ht="31.5" x14ac:dyDescent="0.25">
      <c r="A60" s="55" t="s">
        <v>28</v>
      </c>
      <c r="B60" s="24" t="s">
        <v>9</v>
      </c>
      <c r="C60" s="24" t="s">
        <v>66</v>
      </c>
      <c r="D60" s="24" t="s">
        <v>29</v>
      </c>
      <c r="E60" s="24" t="s">
        <v>15</v>
      </c>
      <c r="F60" s="18">
        <v>24596</v>
      </c>
      <c r="G60" s="18">
        <v>28580</v>
      </c>
      <c r="H60" s="18">
        <v>22280</v>
      </c>
    </row>
    <row r="61" spans="1:8" ht="63" x14ac:dyDescent="0.25">
      <c r="A61" s="49" t="s">
        <v>73</v>
      </c>
      <c r="B61" s="23" t="s">
        <v>9</v>
      </c>
      <c r="C61" s="23" t="s">
        <v>66</v>
      </c>
      <c r="D61" s="23" t="s">
        <v>74</v>
      </c>
      <c r="E61" s="23" t="s">
        <v>13</v>
      </c>
      <c r="F61" s="18">
        <f>10088634.8+3046767.71</f>
        <v>13135402.510000002</v>
      </c>
      <c r="G61" s="18">
        <f t="shared" ref="G61:H61" si="3">10088634.8+3046767.71</f>
        <v>13135402.510000002</v>
      </c>
      <c r="H61" s="18">
        <f t="shared" si="3"/>
        <v>13135402.510000002</v>
      </c>
    </row>
    <row r="62" spans="1:8" ht="47.25" x14ac:dyDescent="0.25">
      <c r="A62" s="54" t="s">
        <v>75</v>
      </c>
      <c r="B62" s="24" t="s">
        <v>9</v>
      </c>
      <c r="C62" s="24" t="s">
        <v>66</v>
      </c>
      <c r="D62" s="24" t="s">
        <v>74</v>
      </c>
      <c r="E62" s="24" t="s">
        <v>15</v>
      </c>
      <c r="F62" s="18">
        <f>1421572.24+505464</f>
        <v>1927036.24</v>
      </c>
      <c r="G62" s="18">
        <f>1431479.71+515445.33</f>
        <v>1946925.04</v>
      </c>
      <c r="H62" s="18">
        <f>1351079.71+515445.33</f>
        <v>1866525.04</v>
      </c>
    </row>
    <row r="63" spans="1:8" ht="31.5" x14ac:dyDescent="0.25">
      <c r="A63" s="57" t="s">
        <v>76</v>
      </c>
      <c r="B63" s="25" t="s">
        <v>9</v>
      </c>
      <c r="C63" s="25" t="s">
        <v>66</v>
      </c>
      <c r="D63" s="24" t="s">
        <v>74</v>
      </c>
      <c r="E63" s="25" t="s">
        <v>17</v>
      </c>
      <c r="F63" s="27">
        <v>2120</v>
      </c>
      <c r="G63" s="27">
        <v>2120</v>
      </c>
      <c r="H63" s="27">
        <v>2120</v>
      </c>
    </row>
    <row r="64" spans="1:8" ht="78.75" x14ac:dyDescent="0.25">
      <c r="A64" s="54" t="s">
        <v>77</v>
      </c>
      <c r="B64" s="24" t="s">
        <v>9</v>
      </c>
      <c r="C64" s="24" t="s">
        <v>78</v>
      </c>
      <c r="D64" s="24" t="s">
        <v>79</v>
      </c>
      <c r="E64" s="24" t="s">
        <v>70</v>
      </c>
      <c r="F64" s="18">
        <v>1978244.77</v>
      </c>
      <c r="G64" s="18">
        <v>1832091.9</v>
      </c>
      <c r="H64" s="18">
        <v>1832091.9</v>
      </c>
    </row>
    <row r="65" spans="1:11" ht="63" x14ac:dyDescent="0.25">
      <c r="A65" s="54" t="s">
        <v>80</v>
      </c>
      <c r="B65" s="24" t="s">
        <v>9</v>
      </c>
      <c r="C65" s="24" t="s">
        <v>81</v>
      </c>
      <c r="D65" s="24" t="s">
        <v>82</v>
      </c>
      <c r="E65" s="24" t="s">
        <v>13</v>
      </c>
      <c r="F65" s="18">
        <f>361509.6+6900+109175.9</f>
        <v>477585.5</v>
      </c>
      <c r="G65" s="18">
        <f>361509.6+19500+109175.9</f>
        <v>490185.5</v>
      </c>
      <c r="H65" s="18">
        <f>361509.6+19500+109175.9</f>
        <v>490185.5</v>
      </c>
    </row>
    <row r="66" spans="1:11" ht="47.25" x14ac:dyDescent="0.3">
      <c r="A66" s="54" t="s">
        <v>83</v>
      </c>
      <c r="B66" s="24" t="s">
        <v>9</v>
      </c>
      <c r="C66" s="24" t="s">
        <v>81</v>
      </c>
      <c r="D66" s="24" t="s">
        <v>82</v>
      </c>
      <c r="E66" s="24" t="s">
        <v>15</v>
      </c>
      <c r="F66" s="18">
        <f>276700-146600</f>
        <v>130100</v>
      </c>
      <c r="G66" s="18">
        <v>207300</v>
      </c>
      <c r="H66" s="18">
        <v>345300</v>
      </c>
      <c r="I66" s="9"/>
      <c r="J66" s="9"/>
      <c r="K66" s="9"/>
    </row>
    <row r="67" spans="1:11" ht="15.75" x14ac:dyDescent="0.25">
      <c r="A67" s="47" t="s">
        <v>84</v>
      </c>
      <c r="B67" s="28" t="s">
        <v>85</v>
      </c>
      <c r="C67" s="28"/>
      <c r="D67" s="28"/>
      <c r="E67" s="28"/>
      <c r="F67" s="16">
        <f>SUM(F68:F75)</f>
        <v>14506910.92</v>
      </c>
      <c r="G67" s="16">
        <f>SUM(G68:G75)</f>
        <v>11060856.020000001</v>
      </c>
      <c r="H67" s="16">
        <f>SUM(H68:H75)</f>
        <v>11074250.370000001</v>
      </c>
      <c r="I67" s="10"/>
      <c r="J67" s="10"/>
      <c r="K67" s="10"/>
    </row>
    <row r="68" spans="1:11" ht="63" x14ac:dyDescent="0.25">
      <c r="A68" s="59" t="s">
        <v>86</v>
      </c>
      <c r="B68" s="21" t="s">
        <v>85</v>
      </c>
      <c r="C68" s="29" t="s">
        <v>87</v>
      </c>
      <c r="D68" s="29" t="s">
        <v>88</v>
      </c>
      <c r="E68" s="29" t="s">
        <v>13</v>
      </c>
      <c r="F68" s="46">
        <f>9551667.21+137328.45</f>
        <v>9688995.6600000001</v>
      </c>
      <c r="G68" s="30">
        <f>9551667.21</f>
        <v>9551667.2100000009</v>
      </c>
      <c r="H68" s="30">
        <f>9551667.21</f>
        <v>9551667.2100000009</v>
      </c>
    </row>
    <row r="69" spans="1:11" ht="31.5" x14ac:dyDescent="0.25">
      <c r="A69" s="60" t="s">
        <v>89</v>
      </c>
      <c r="B69" s="21" t="s">
        <v>85</v>
      </c>
      <c r="C69" s="29" t="s">
        <v>87</v>
      </c>
      <c r="D69" s="29" t="s">
        <v>88</v>
      </c>
      <c r="E69" s="29" t="s">
        <v>15</v>
      </c>
      <c r="F69" s="18">
        <f>357344.62-50000</f>
        <v>307344.62</v>
      </c>
      <c r="G69" s="18">
        <v>367188.81</v>
      </c>
      <c r="H69" s="18">
        <v>380583.16</v>
      </c>
    </row>
    <row r="70" spans="1:11" ht="31.5" x14ac:dyDescent="0.25">
      <c r="A70" s="58" t="s">
        <v>90</v>
      </c>
      <c r="B70" s="26" t="s">
        <v>85</v>
      </c>
      <c r="C70" s="31" t="s">
        <v>87</v>
      </c>
      <c r="D70" s="29" t="s">
        <v>88</v>
      </c>
      <c r="E70" s="26" t="s">
        <v>17</v>
      </c>
      <c r="F70" s="27">
        <v>1000</v>
      </c>
      <c r="G70" s="27">
        <v>1000</v>
      </c>
      <c r="H70" s="27">
        <v>1000</v>
      </c>
    </row>
    <row r="71" spans="1:11" ht="78.75" x14ac:dyDescent="0.25">
      <c r="A71" s="58" t="s">
        <v>91</v>
      </c>
      <c r="B71" s="26" t="s">
        <v>85</v>
      </c>
      <c r="C71" s="31" t="s">
        <v>87</v>
      </c>
      <c r="D71" s="29" t="s">
        <v>92</v>
      </c>
      <c r="E71" s="26" t="s">
        <v>13</v>
      </c>
      <c r="F71" s="27">
        <f>118365.83+162329.81+368620</f>
        <v>649315.64</v>
      </c>
      <c r="G71" s="27">
        <v>0</v>
      </c>
      <c r="H71" s="27">
        <v>0</v>
      </c>
    </row>
    <row r="72" spans="1:11" ht="31.5" x14ac:dyDescent="0.25">
      <c r="A72" s="49" t="s">
        <v>93</v>
      </c>
      <c r="B72" s="23" t="s">
        <v>85</v>
      </c>
      <c r="C72" s="23" t="s">
        <v>87</v>
      </c>
      <c r="D72" s="23" t="s">
        <v>94</v>
      </c>
      <c r="E72" s="23" t="s">
        <v>15</v>
      </c>
      <c r="F72" s="18">
        <v>885000</v>
      </c>
      <c r="G72" s="18">
        <v>1017000</v>
      </c>
      <c r="H72" s="18">
        <v>1017000</v>
      </c>
    </row>
    <row r="73" spans="1:11" ht="31.5" x14ac:dyDescent="0.25">
      <c r="A73" s="49" t="s">
        <v>95</v>
      </c>
      <c r="B73" s="23" t="s">
        <v>85</v>
      </c>
      <c r="C73" s="31" t="s">
        <v>87</v>
      </c>
      <c r="D73" s="23" t="s">
        <v>96</v>
      </c>
      <c r="E73" s="23" t="s">
        <v>15</v>
      </c>
      <c r="F73" s="18">
        <v>45000</v>
      </c>
      <c r="G73" s="18">
        <v>50000</v>
      </c>
      <c r="H73" s="18">
        <v>50000</v>
      </c>
    </row>
    <row r="74" spans="1:11" ht="23.25" customHeight="1" x14ac:dyDescent="0.25">
      <c r="A74" s="49" t="s">
        <v>300</v>
      </c>
      <c r="B74" s="23" t="s">
        <v>85</v>
      </c>
      <c r="C74" s="31" t="s">
        <v>122</v>
      </c>
      <c r="D74" s="23" t="s">
        <v>177</v>
      </c>
      <c r="E74" s="23" t="s">
        <v>17</v>
      </c>
      <c r="F74" s="18">
        <f>2805000+51255</f>
        <v>2856255</v>
      </c>
      <c r="G74" s="18">
        <v>0</v>
      </c>
      <c r="H74" s="18">
        <v>0</v>
      </c>
    </row>
    <row r="75" spans="1:11" ht="47.25" x14ac:dyDescent="0.25">
      <c r="A75" s="49" t="s">
        <v>97</v>
      </c>
      <c r="B75" s="23" t="s">
        <v>85</v>
      </c>
      <c r="C75" s="31" t="s">
        <v>98</v>
      </c>
      <c r="D75" s="23" t="s">
        <v>99</v>
      </c>
      <c r="E75" s="23" t="s">
        <v>15</v>
      </c>
      <c r="F75" s="18">
        <v>74000</v>
      </c>
      <c r="G75" s="18">
        <v>74000</v>
      </c>
      <c r="H75" s="18">
        <v>74000</v>
      </c>
    </row>
    <row r="76" spans="1:11" ht="15.75" x14ac:dyDescent="0.25">
      <c r="A76" s="47" t="s">
        <v>100</v>
      </c>
      <c r="B76" s="15" t="s">
        <v>101</v>
      </c>
      <c r="C76" s="15"/>
      <c r="D76" s="15"/>
      <c r="E76" s="15"/>
      <c r="F76" s="16">
        <f>SUM(F77:F80)</f>
        <v>1078836.69</v>
      </c>
      <c r="G76" s="16">
        <f>SUM(G77:G80)</f>
        <v>988693.5</v>
      </c>
      <c r="H76" s="16">
        <f>SUM(H77:H80)</f>
        <v>988693.5</v>
      </c>
    </row>
    <row r="77" spans="1:11" ht="78.75" x14ac:dyDescent="0.25">
      <c r="A77" s="58" t="s">
        <v>102</v>
      </c>
      <c r="B77" s="26" t="s">
        <v>101</v>
      </c>
      <c r="C77" s="26" t="s">
        <v>103</v>
      </c>
      <c r="D77" s="32" t="s">
        <v>104</v>
      </c>
      <c r="E77" s="26" t="s">
        <v>13</v>
      </c>
      <c r="F77" s="27">
        <v>79500.61</v>
      </c>
      <c r="G77" s="27">
        <v>0</v>
      </c>
      <c r="H77" s="27">
        <v>0</v>
      </c>
    </row>
    <row r="78" spans="1:11" ht="63" x14ac:dyDescent="0.25">
      <c r="A78" s="49" t="s">
        <v>105</v>
      </c>
      <c r="B78" s="23" t="s">
        <v>101</v>
      </c>
      <c r="C78" s="23" t="s">
        <v>103</v>
      </c>
      <c r="D78" s="33" t="s">
        <v>106</v>
      </c>
      <c r="E78" s="23" t="s">
        <v>13</v>
      </c>
      <c r="F78" s="18">
        <f>760693.5+10142.58</f>
        <v>770836.08</v>
      </c>
      <c r="G78" s="18">
        <v>760693.5</v>
      </c>
      <c r="H78" s="18">
        <v>760693.5</v>
      </c>
    </row>
    <row r="79" spans="1:11" ht="31.5" x14ac:dyDescent="0.25">
      <c r="A79" s="58" t="s">
        <v>219</v>
      </c>
      <c r="B79" s="26" t="s">
        <v>101</v>
      </c>
      <c r="C79" s="26" t="s">
        <v>103</v>
      </c>
      <c r="D79" s="32" t="s">
        <v>222</v>
      </c>
      <c r="E79" s="26" t="s">
        <v>17</v>
      </c>
      <c r="F79" s="27">
        <v>500</v>
      </c>
      <c r="G79" s="27">
        <v>0</v>
      </c>
      <c r="H79" s="27">
        <v>0</v>
      </c>
    </row>
    <row r="80" spans="1:11" ht="63" x14ac:dyDescent="0.25">
      <c r="A80" s="58" t="s">
        <v>107</v>
      </c>
      <c r="B80" s="26" t="s">
        <v>101</v>
      </c>
      <c r="C80" s="26" t="s">
        <v>103</v>
      </c>
      <c r="D80" s="32" t="s">
        <v>108</v>
      </c>
      <c r="E80" s="26" t="s">
        <v>13</v>
      </c>
      <c r="F80" s="27">
        <v>228000</v>
      </c>
      <c r="G80" s="27">
        <v>228000</v>
      </c>
      <c r="H80" s="27">
        <v>228000</v>
      </c>
    </row>
    <row r="81" spans="1:8" ht="15.75" x14ac:dyDescent="0.25">
      <c r="A81" s="61" t="s">
        <v>109</v>
      </c>
      <c r="B81" s="34" t="s">
        <v>110</v>
      </c>
      <c r="C81" s="34"/>
      <c r="D81" s="34"/>
      <c r="E81" s="34"/>
      <c r="F81" s="35">
        <f>SUM(F82:F147)</f>
        <v>59417500.790000007</v>
      </c>
      <c r="G81" s="35">
        <f>SUM(G82:G147)</f>
        <v>51072314.019999996</v>
      </c>
      <c r="H81" s="35">
        <f>SUM(H82:H147)</f>
        <v>51388911.749999993</v>
      </c>
    </row>
    <row r="82" spans="1:8" ht="63" x14ac:dyDescent="0.25">
      <c r="A82" s="49" t="s">
        <v>111</v>
      </c>
      <c r="B82" s="23" t="s">
        <v>110</v>
      </c>
      <c r="C82" s="23" t="s">
        <v>112</v>
      </c>
      <c r="D82" s="33" t="s">
        <v>113</v>
      </c>
      <c r="E82" s="23" t="s">
        <v>13</v>
      </c>
      <c r="F82" s="18">
        <f>1718640+22785</f>
        <v>1741425</v>
      </c>
      <c r="G82" s="18">
        <v>1718640</v>
      </c>
      <c r="H82" s="18">
        <v>1817640</v>
      </c>
    </row>
    <row r="83" spans="1:8" ht="63" x14ac:dyDescent="0.25">
      <c r="A83" s="48" t="s">
        <v>86</v>
      </c>
      <c r="B83" s="21" t="s">
        <v>110</v>
      </c>
      <c r="C83" s="21" t="s">
        <v>114</v>
      </c>
      <c r="D83" s="21" t="s">
        <v>88</v>
      </c>
      <c r="E83" s="21" t="s">
        <v>13</v>
      </c>
      <c r="F83" s="37">
        <f>27436322.15+399695.77</f>
        <v>27836017.919999998</v>
      </c>
      <c r="G83" s="37">
        <v>27436322.149999999</v>
      </c>
      <c r="H83" s="37">
        <v>27436322.149999999</v>
      </c>
    </row>
    <row r="84" spans="1:8" ht="31.5" x14ac:dyDescent="0.25">
      <c r="A84" s="49" t="s">
        <v>89</v>
      </c>
      <c r="B84" s="23" t="s">
        <v>110</v>
      </c>
      <c r="C84" s="23" t="s">
        <v>114</v>
      </c>
      <c r="D84" s="21" t="s">
        <v>88</v>
      </c>
      <c r="E84" s="23" t="s">
        <v>15</v>
      </c>
      <c r="F84" s="18">
        <f>200000-50000+50000</f>
        <v>200000</v>
      </c>
      <c r="G84" s="18">
        <v>0</v>
      </c>
      <c r="H84" s="18">
        <v>0</v>
      </c>
    </row>
    <row r="85" spans="1:8" ht="31.5" x14ac:dyDescent="0.25">
      <c r="A85" s="49" t="s">
        <v>90</v>
      </c>
      <c r="B85" s="23" t="s">
        <v>110</v>
      </c>
      <c r="C85" s="23" t="s">
        <v>114</v>
      </c>
      <c r="D85" s="21" t="s">
        <v>88</v>
      </c>
      <c r="E85" s="23" t="s">
        <v>17</v>
      </c>
      <c r="F85" s="18">
        <v>6050</v>
      </c>
      <c r="G85" s="18">
        <v>0</v>
      </c>
      <c r="H85" s="18">
        <v>0</v>
      </c>
    </row>
    <row r="86" spans="1:8" ht="78.75" x14ac:dyDescent="0.25">
      <c r="A86" s="49" t="s">
        <v>91</v>
      </c>
      <c r="B86" s="23" t="s">
        <v>110</v>
      </c>
      <c r="C86" s="23" t="s">
        <v>114</v>
      </c>
      <c r="D86" s="21" t="s">
        <v>92</v>
      </c>
      <c r="E86" s="23" t="s">
        <v>13</v>
      </c>
      <c r="F86" s="18">
        <v>75524.98</v>
      </c>
      <c r="G86" s="18">
        <v>0</v>
      </c>
      <c r="H86" s="18">
        <v>0</v>
      </c>
    </row>
    <row r="87" spans="1:8" ht="78.75" x14ac:dyDescent="0.25">
      <c r="A87" s="49" t="s">
        <v>231</v>
      </c>
      <c r="B87" s="23" t="s">
        <v>110</v>
      </c>
      <c r="C87" s="23" t="s">
        <v>114</v>
      </c>
      <c r="D87" s="33" t="s">
        <v>115</v>
      </c>
      <c r="E87" s="23" t="s">
        <v>13</v>
      </c>
      <c r="F87" s="18">
        <v>470550.03</v>
      </c>
      <c r="G87" s="18">
        <v>411331</v>
      </c>
      <c r="H87" s="18">
        <v>411331</v>
      </c>
    </row>
    <row r="88" spans="1:8" ht="63" x14ac:dyDescent="0.25">
      <c r="A88" s="49" t="s">
        <v>241</v>
      </c>
      <c r="B88" s="23" t="s">
        <v>110</v>
      </c>
      <c r="C88" s="23" t="s">
        <v>116</v>
      </c>
      <c r="D88" s="33" t="s">
        <v>117</v>
      </c>
      <c r="E88" s="23" t="s">
        <v>15</v>
      </c>
      <c r="F88" s="18">
        <v>35345.31</v>
      </c>
      <c r="G88" s="18">
        <v>2108.94</v>
      </c>
      <c r="H88" s="18">
        <v>1893.75</v>
      </c>
    </row>
    <row r="89" spans="1:8" ht="31.5" x14ac:dyDescent="0.25">
      <c r="A89" s="49" t="s">
        <v>118</v>
      </c>
      <c r="B89" s="23" t="s">
        <v>110</v>
      </c>
      <c r="C89" s="23" t="s">
        <v>119</v>
      </c>
      <c r="D89" s="38" t="s">
        <v>120</v>
      </c>
      <c r="E89" s="23" t="s">
        <v>17</v>
      </c>
      <c r="F89" s="18">
        <v>500000</v>
      </c>
      <c r="G89" s="18">
        <v>500000</v>
      </c>
      <c r="H89" s="18">
        <v>500000</v>
      </c>
    </row>
    <row r="90" spans="1:8" ht="47.25" x14ac:dyDescent="0.25">
      <c r="A90" s="49" t="s">
        <v>121</v>
      </c>
      <c r="B90" s="23" t="s">
        <v>110</v>
      </c>
      <c r="C90" s="23" t="s">
        <v>122</v>
      </c>
      <c r="D90" s="23" t="s">
        <v>123</v>
      </c>
      <c r="E90" s="23" t="s">
        <v>15</v>
      </c>
      <c r="F90" s="18">
        <v>50000</v>
      </c>
      <c r="G90" s="18">
        <v>50000</v>
      </c>
      <c r="H90" s="18">
        <v>50000</v>
      </c>
    </row>
    <row r="91" spans="1:8" ht="31.5" x14ac:dyDescent="0.25">
      <c r="A91" s="49" t="s">
        <v>124</v>
      </c>
      <c r="B91" s="23" t="s">
        <v>110</v>
      </c>
      <c r="C91" s="23" t="s">
        <v>122</v>
      </c>
      <c r="D91" s="23" t="s">
        <v>125</v>
      </c>
      <c r="E91" s="23" t="s">
        <v>15</v>
      </c>
      <c r="F91" s="18">
        <v>686000</v>
      </c>
      <c r="G91" s="18">
        <v>686000</v>
      </c>
      <c r="H91" s="18">
        <v>686000</v>
      </c>
    </row>
    <row r="92" spans="1:8" ht="63" x14ac:dyDescent="0.25">
      <c r="A92" s="49" t="s">
        <v>126</v>
      </c>
      <c r="B92" s="23" t="s">
        <v>110</v>
      </c>
      <c r="C92" s="23" t="s">
        <v>122</v>
      </c>
      <c r="D92" s="23" t="s">
        <v>127</v>
      </c>
      <c r="E92" s="23" t="s">
        <v>15</v>
      </c>
      <c r="F92" s="18">
        <v>100000</v>
      </c>
      <c r="G92" s="18">
        <v>100000</v>
      </c>
      <c r="H92" s="18">
        <v>100000</v>
      </c>
    </row>
    <row r="93" spans="1:8" ht="47.25" x14ac:dyDescent="0.25">
      <c r="A93" s="51" t="s">
        <v>128</v>
      </c>
      <c r="B93" s="23" t="s">
        <v>110</v>
      </c>
      <c r="C93" s="23" t="s">
        <v>122</v>
      </c>
      <c r="D93" s="23" t="s">
        <v>129</v>
      </c>
      <c r="E93" s="23" t="s">
        <v>15</v>
      </c>
      <c r="F93" s="39">
        <v>200000</v>
      </c>
      <c r="G93" s="39">
        <v>200000</v>
      </c>
      <c r="H93" s="39">
        <v>200000</v>
      </c>
    </row>
    <row r="94" spans="1:8" ht="47.25" x14ac:dyDescent="0.25">
      <c r="A94" s="49" t="s">
        <v>130</v>
      </c>
      <c r="B94" s="23" t="s">
        <v>110</v>
      </c>
      <c r="C94" s="23" t="s">
        <v>122</v>
      </c>
      <c r="D94" s="23" t="s">
        <v>131</v>
      </c>
      <c r="E94" s="23" t="s">
        <v>15</v>
      </c>
      <c r="F94" s="18">
        <v>64800.800000000003</v>
      </c>
      <c r="G94" s="18">
        <v>71280.899999999994</v>
      </c>
      <c r="H94" s="18">
        <v>71280.899999999994</v>
      </c>
    </row>
    <row r="95" spans="1:8" ht="31.5" x14ac:dyDescent="0.25">
      <c r="A95" s="48" t="s">
        <v>95</v>
      </c>
      <c r="B95" s="40" t="s">
        <v>110</v>
      </c>
      <c r="C95" s="40" t="s">
        <v>122</v>
      </c>
      <c r="D95" s="41" t="s">
        <v>96</v>
      </c>
      <c r="E95" s="40" t="s">
        <v>15</v>
      </c>
      <c r="F95" s="39">
        <v>140000</v>
      </c>
      <c r="G95" s="39">
        <v>155000</v>
      </c>
      <c r="H95" s="39">
        <v>155000</v>
      </c>
    </row>
    <row r="96" spans="1:8" ht="63" x14ac:dyDescent="0.25">
      <c r="A96" s="48" t="s">
        <v>132</v>
      </c>
      <c r="B96" s="40" t="s">
        <v>110</v>
      </c>
      <c r="C96" s="40" t="s">
        <v>122</v>
      </c>
      <c r="D96" s="41" t="s">
        <v>133</v>
      </c>
      <c r="E96" s="40" t="s">
        <v>15</v>
      </c>
      <c r="F96" s="39">
        <v>5000</v>
      </c>
      <c r="G96" s="39">
        <v>5000</v>
      </c>
      <c r="H96" s="39">
        <v>5000</v>
      </c>
    </row>
    <row r="97" spans="1:8" ht="47.25" x14ac:dyDescent="0.25">
      <c r="A97" s="48" t="s">
        <v>134</v>
      </c>
      <c r="B97" s="40" t="s">
        <v>110</v>
      </c>
      <c r="C97" s="40" t="s">
        <v>122</v>
      </c>
      <c r="D97" s="41" t="s">
        <v>135</v>
      </c>
      <c r="E97" s="40" t="s">
        <v>70</v>
      </c>
      <c r="F97" s="39">
        <v>800</v>
      </c>
      <c r="G97" s="39">
        <v>800</v>
      </c>
      <c r="H97" s="39">
        <v>800</v>
      </c>
    </row>
    <row r="98" spans="1:8" ht="31.5" x14ac:dyDescent="0.25">
      <c r="A98" s="48" t="s">
        <v>136</v>
      </c>
      <c r="B98" s="40" t="s">
        <v>110</v>
      </c>
      <c r="C98" s="40" t="s">
        <v>122</v>
      </c>
      <c r="D98" s="41" t="s">
        <v>137</v>
      </c>
      <c r="E98" s="40" t="s">
        <v>15</v>
      </c>
      <c r="F98" s="39">
        <v>15000</v>
      </c>
      <c r="G98" s="39">
        <v>15000</v>
      </c>
      <c r="H98" s="39">
        <v>15000</v>
      </c>
    </row>
    <row r="99" spans="1:8" ht="47.25" x14ac:dyDescent="0.25">
      <c r="A99" s="48" t="s">
        <v>245</v>
      </c>
      <c r="B99" s="40" t="s">
        <v>110</v>
      </c>
      <c r="C99" s="40" t="s">
        <v>122</v>
      </c>
      <c r="D99" s="41" t="s">
        <v>138</v>
      </c>
      <c r="E99" s="40" t="s">
        <v>15</v>
      </c>
      <c r="F99" s="39">
        <f>40000</f>
        <v>40000</v>
      </c>
      <c r="G99" s="39">
        <v>40000</v>
      </c>
      <c r="H99" s="39">
        <v>40000</v>
      </c>
    </row>
    <row r="100" spans="1:8" ht="31.5" x14ac:dyDescent="0.25">
      <c r="A100" s="48" t="s">
        <v>72</v>
      </c>
      <c r="B100" s="40" t="s">
        <v>110</v>
      </c>
      <c r="C100" s="40" t="s">
        <v>122</v>
      </c>
      <c r="D100" s="41" t="s">
        <v>139</v>
      </c>
      <c r="E100" s="40" t="s">
        <v>70</v>
      </c>
      <c r="F100" s="39">
        <f>44000+44000</f>
        <v>88000</v>
      </c>
      <c r="G100" s="39">
        <v>88000</v>
      </c>
      <c r="H100" s="39">
        <v>88000</v>
      </c>
    </row>
    <row r="101" spans="1:8" ht="31.5" x14ac:dyDescent="0.25">
      <c r="A101" s="48" t="s">
        <v>140</v>
      </c>
      <c r="B101" s="40" t="s">
        <v>110</v>
      </c>
      <c r="C101" s="40" t="s">
        <v>122</v>
      </c>
      <c r="D101" s="41" t="s">
        <v>141</v>
      </c>
      <c r="E101" s="40" t="s">
        <v>15</v>
      </c>
      <c r="F101" s="39">
        <v>0</v>
      </c>
      <c r="G101" s="39">
        <v>50000</v>
      </c>
      <c r="H101" s="39">
        <v>50000</v>
      </c>
    </row>
    <row r="102" spans="1:8" ht="47.25" x14ac:dyDescent="0.25">
      <c r="A102" s="62" t="s">
        <v>142</v>
      </c>
      <c r="B102" s="23" t="s">
        <v>110</v>
      </c>
      <c r="C102" s="23" t="s">
        <v>122</v>
      </c>
      <c r="D102" s="23" t="s">
        <v>143</v>
      </c>
      <c r="E102" s="23" t="s">
        <v>15</v>
      </c>
      <c r="F102" s="18">
        <v>3000</v>
      </c>
      <c r="G102" s="18">
        <v>3000</v>
      </c>
      <c r="H102" s="18">
        <v>3000</v>
      </c>
    </row>
    <row r="103" spans="1:8" ht="31.5" x14ac:dyDescent="0.25">
      <c r="A103" s="62" t="s">
        <v>252</v>
      </c>
      <c r="B103" s="23" t="s">
        <v>110</v>
      </c>
      <c r="C103" s="23" t="s">
        <v>122</v>
      </c>
      <c r="D103" s="23" t="s">
        <v>250</v>
      </c>
      <c r="E103" s="23" t="s">
        <v>15</v>
      </c>
      <c r="F103" s="18">
        <v>150000</v>
      </c>
      <c r="G103" s="18">
        <v>150000</v>
      </c>
      <c r="H103" s="18">
        <v>150000</v>
      </c>
    </row>
    <row r="104" spans="1:8" ht="47.25" x14ac:dyDescent="0.25">
      <c r="A104" s="62" t="s">
        <v>255</v>
      </c>
      <c r="B104" s="23" t="s">
        <v>110</v>
      </c>
      <c r="C104" s="23" t="s">
        <v>122</v>
      </c>
      <c r="D104" s="23" t="s">
        <v>253</v>
      </c>
      <c r="E104" s="23" t="s">
        <v>15</v>
      </c>
      <c r="F104" s="18">
        <v>130000</v>
      </c>
      <c r="G104" s="18">
        <v>130000</v>
      </c>
      <c r="H104" s="18">
        <v>130000</v>
      </c>
    </row>
    <row r="105" spans="1:8" ht="31.5" x14ac:dyDescent="0.25">
      <c r="A105" s="62" t="s">
        <v>256</v>
      </c>
      <c r="B105" s="23" t="s">
        <v>110</v>
      </c>
      <c r="C105" s="23" t="s">
        <v>122</v>
      </c>
      <c r="D105" s="23" t="s">
        <v>254</v>
      </c>
      <c r="E105" s="23" t="s">
        <v>15</v>
      </c>
      <c r="F105" s="18">
        <v>20000</v>
      </c>
      <c r="G105" s="18">
        <v>20000</v>
      </c>
      <c r="H105" s="18">
        <v>20000</v>
      </c>
    </row>
    <row r="106" spans="1:8" ht="31.5" x14ac:dyDescent="0.25">
      <c r="A106" s="49" t="s">
        <v>220</v>
      </c>
      <c r="B106" s="23" t="s">
        <v>110</v>
      </c>
      <c r="C106" s="23" t="s">
        <v>122</v>
      </c>
      <c r="D106" s="23" t="s">
        <v>144</v>
      </c>
      <c r="E106" s="23" t="s">
        <v>70</v>
      </c>
      <c r="F106" s="18">
        <v>37500</v>
      </c>
      <c r="G106" s="18">
        <v>37500</v>
      </c>
      <c r="H106" s="18">
        <v>37500</v>
      </c>
    </row>
    <row r="107" spans="1:8" ht="47.25" x14ac:dyDescent="0.25">
      <c r="A107" s="49" t="s">
        <v>273</v>
      </c>
      <c r="B107" s="23" t="s">
        <v>110</v>
      </c>
      <c r="C107" s="23" t="s">
        <v>122</v>
      </c>
      <c r="D107" s="23" t="s">
        <v>145</v>
      </c>
      <c r="E107" s="23" t="s">
        <v>15</v>
      </c>
      <c r="F107" s="18">
        <v>11547</v>
      </c>
      <c r="G107" s="18">
        <v>11669</v>
      </c>
      <c r="H107" s="18">
        <v>11669</v>
      </c>
    </row>
    <row r="108" spans="1:8" ht="31.5" x14ac:dyDescent="0.25">
      <c r="A108" s="49" t="s">
        <v>146</v>
      </c>
      <c r="B108" s="23" t="s">
        <v>110</v>
      </c>
      <c r="C108" s="23" t="s">
        <v>122</v>
      </c>
      <c r="D108" s="23" t="s">
        <v>147</v>
      </c>
      <c r="E108" s="23" t="s">
        <v>17</v>
      </c>
      <c r="F108" s="18">
        <f>58345+10937</f>
        <v>69282</v>
      </c>
      <c r="G108" s="18">
        <v>0</v>
      </c>
      <c r="H108" s="18">
        <v>0</v>
      </c>
    </row>
    <row r="109" spans="1:8" ht="47.25" x14ac:dyDescent="0.25">
      <c r="A109" s="49" t="s">
        <v>148</v>
      </c>
      <c r="B109" s="23" t="s">
        <v>110</v>
      </c>
      <c r="C109" s="23" t="s">
        <v>149</v>
      </c>
      <c r="D109" s="23" t="s">
        <v>150</v>
      </c>
      <c r="E109" s="23" t="s">
        <v>15</v>
      </c>
      <c r="F109" s="18">
        <v>100000</v>
      </c>
      <c r="G109" s="18">
        <v>100000</v>
      </c>
      <c r="H109" s="18">
        <v>100000</v>
      </c>
    </row>
    <row r="110" spans="1:8" ht="63" x14ac:dyDescent="0.25">
      <c r="A110" s="49" t="s">
        <v>251</v>
      </c>
      <c r="B110" s="23" t="s">
        <v>110</v>
      </c>
      <c r="C110" s="23" t="s">
        <v>149</v>
      </c>
      <c r="D110" s="23" t="s">
        <v>249</v>
      </c>
      <c r="E110" s="23" t="s">
        <v>15</v>
      </c>
      <c r="F110" s="18">
        <v>10000</v>
      </c>
      <c r="G110" s="18">
        <v>11000</v>
      </c>
      <c r="H110" s="18">
        <v>12000</v>
      </c>
    </row>
    <row r="111" spans="1:8" ht="63" x14ac:dyDescent="0.25">
      <c r="A111" s="49" t="s">
        <v>152</v>
      </c>
      <c r="B111" s="23" t="s">
        <v>110</v>
      </c>
      <c r="C111" s="23" t="s">
        <v>151</v>
      </c>
      <c r="D111" s="23" t="s">
        <v>153</v>
      </c>
      <c r="E111" s="23" t="s">
        <v>15</v>
      </c>
      <c r="F111" s="18">
        <v>66392.850000000006</v>
      </c>
      <c r="G111" s="18">
        <v>24245.25</v>
      </c>
      <c r="H111" s="18">
        <v>24245.25</v>
      </c>
    </row>
    <row r="112" spans="1:8" ht="47.25" x14ac:dyDescent="0.25">
      <c r="A112" s="48" t="s">
        <v>154</v>
      </c>
      <c r="B112" s="41" t="s">
        <v>110</v>
      </c>
      <c r="C112" s="41" t="s">
        <v>151</v>
      </c>
      <c r="D112" s="41" t="s">
        <v>155</v>
      </c>
      <c r="E112" s="41" t="s">
        <v>15</v>
      </c>
      <c r="F112" s="42">
        <f>30000</f>
        <v>30000</v>
      </c>
      <c r="G112" s="42">
        <v>30000</v>
      </c>
      <c r="H112" s="42">
        <v>30000</v>
      </c>
    </row>
    <row r="113" spans="1:8" ht="31.5" x14ac:dyDescent="0.25">
      <c r="A113" s="49" t="s">
        <v>156</v>
      </c>
      <c r="B113" s="41" t="s">
        <v>110</v>
      </c>
      <c r="C113" s="41" t="s">
        <v>157</v>
      </c>
      <c r="D113" s="23" t="s">
        <v>158</v>
      </c>
      <c r="E113" s="41" t="s">
        <v>17</v>
      </c>
      <c r="F113" s="42">
        <f>243000</f>
        <v>243000</v>
      </c>
      <c r="G113" s="42">
        <v>200000</v>
      </c>
      <c r="H113" s="42">
        <v>200000</v>
      </c>
    </row>
    <row r="114" spans="1:8" ht="31.5" x14ac:dyDescent="0.25">
      <c r="A114" s="48" t="s">
        <v>235</v>
      </c>
      <c r="B114" s="41" t="s">
        <v>110</v>
      </c>
      <c r="C114" s="41" t="s">
        <v>157</v>
      </c>
      <c r="D114" s="41" t="s">
        <v>159</v>
      </c>
      <c r="E114" s="41" t="s">
        <v>17</v>
      </c>
      <c r="F114" s="42">
        <f>1364603.54+71821.24</f>
        <v>1436424.78</v>
      </c>
      <c r="G114" s="42">
        <f>1384375.62+72861.87</f>
        <v>1457237.4900000002</v>
      </c>
      <c r="H114" s="42">
        <f>1405097.35+73952.49</f>
        <v>1479049.84</v>
      </c>
    </row>
    <row r="115" spans="1:8" ht="141.75" x14ac:dyDescent="0.25">
      <c r="A115" s="48" t="s">
        <v>169</v>
      </c>
      <c r="B115" s="41" t="s">
        <v>110</v>
      </c>
      <c r="C115" s="41" t="s">
        <v>161</v>
      </c>
      <c r="D115" s="41" t="s">
        <v>170</v>
      </c>
      <c r="E115" s="41" t="s">
        <v>15</v>
      </c>
      <c r="F115" s="42">
        <f>2715515.72-2715515.72</f>
        <v>0</v>
      </c>
      <c r="G115" s="42">
        <v>2715515.72</v>
      </c>
      <c r="H115" s="42">
        <v>2715515.72</v>
      </c>
    </row>
    <row r="116" spans="1:8" ht="141.75" x14ac:dyDescent="0.25">
      <c r="A116" s="48" t="s">
        <v>171</v>
      </c>
      <c r="B116" s="41" t="s">
        <v>110</v>
      </c>
      <c r="C116" s="41" t="s">
        <v>161</v>
      </c>
      <c r="D116" s="41" t="s">
        <v>170</v>
      </c>
      <c r="E116" s="41" t="s">
        <v>172</v>
      </c>
      <c r="F116" s="42">
        <v>2715515.72</v>
      </c>
      <c r="G116" s="42">
        <v>0</v>
      </c>
      <c r="H116" s="42">
        <v>0</v>
      </c>
    </row>
    <row r="117" spans="1:8" ht="141.75" x14ac:dyDescent="0.25">
      <c r="A117" s="48" t="s">
        <v>173</v>
      </c>
      <c r="B117" s="41" t="s">
        <v>110</v>
      </c>
      <c r="C117" s="41" t="s">
        <v>161</v>
      </c>
      <c r="D117" s="41" t="s">
        <v>174</v>
      </c>
      <c r="E117" s="41" t="s">
        <v>15</v>
      </c>
      <c r="F117" s="42">
        <f>1472278.57-1472278.57</f>
        <v>0</v>
      </c>
      <c r="G117" s="42">
        <v>1472278.57</v>
      </c>
      <c r="H117" s="42">
        <v>1472278.57</v>
      </c>
    </row>
    <row r="118" spans="1:8" ht="126" x14ac:dyDescent="0.25">
      <c r="A118" s="48" t="s">
        <v>175</v>
      </c>
      <c r="B118" s="41" t="s">
        <v>110</v>
      </c>
      <c r="C118" s="41" t="s">
        <v>161</v>
      </c>
      <c r="D118" s="41" t="s">
        <v>174</v>
      </c>
      <c r="E118" s="41" t="s">
        <v>172</v>
      </c>
      <c r="F118" s="42">
        <v>1472278.57</v>
      </c>
      <c r="G118" s="42">
        <v>0</v>
      </c>
      <c r="H118" s="42">
        <v>0</v>
      </c>
    </row>
    <row r="119" spans="1:8" ht="47.25" x14ac:dyDescent="0.25">
      <c r="A119" s="48" t="s">
        <v>160</v>
      </c>
      <c r="B119" s="41" t="s">
        <v>110</v>
      </c>
      <c r="C119" s="41" t="s">
        <v>161</v>
      </c>
      <c r="D119" s="41" t="s">
        <v>162</v>
      </c>
      <c r="E119" s="41" t="s">
        <v>15</v>
      </c>
      <c r="F119" s="42">
        <f>48000-36000+36000</f>
        <v>48000</v>
      </c>
      <c r="G119" s="42">
        <v>12000</v>
      </c>
      <c r="H119" s="42">
        <v>12000</v>
      </c>
    </row>
    <row r="120" spans="1:8" ht="31.5" x14ac:dyDescent="0.25">
      <c r="A120" s="49" t="s">
        <v>163</v>
      </c>
      <c r="B120" s="41" t="s">
        <v>110</v>
      </c>
      <c r="C120" s="41" t="s">
        <v>161</v>
      </c>
      <c r="D120" s="41" t="s">
        <v>164</v>
      </c>
      <c r="E120" s="41" t="s">
        <v>15</v>
      </c>
      <c r="F120" s="42">
        <f>108093.41-21503.99-39121.31+42192.37</f>
        <v>89660.48000000001</v>
      </c>
      <c r="G120" s="42">
        <f>21504-12478.88+3028.55</f>
        <v>12053.670000000002</v>
      </c>
      <c r="H120" s="42">
        <f>21504-12478.88+5307.25</f>
        <v>14332.37</v>
      </c>
    </row>
    <row r="121" spans="1:8" ht="31.5" x14ac:dyDescent="0.25">
      <c r="A121" s="48" t="s">
        <v>165</v>
      </c>
      <c r="B121" s="23" t="s">
        <v>110</v>
      </c>
      <c r="C121" s="23" t="s">
        <v>161</v>
      </c>
      <c r="D121" s="36" t="s">
        <v>166</v>
      </c>
      <c r="E121" s="41" t="s">
        <v>15</v>
      </c>
      <c r="F121" s="42">
        <f>712980.57-712980.57+143507.63</f>
        <v>143507.63</v>
      </c>
      <c r="G121" s="42">
        <f>1004859.56+168807.73+45194.42-797126.99+141521.45</f>
        <v>563256.16999999993</v>
      </c>
      <c r="H121" s="42">
        <f>1004859.56+168807.73+45194.42-797126.99+248002.75</f>
        <v>669737.47</v>
      </c>
    </row>
    <row r="122" spans="1:8" ht="78.75" x14ac:dyDescent="0.25">
      <c r="A122" s="49" t="s">
        <v>167</v>
      </c>
      <c r="B122" s="21" t="s">
        <v>110</v>
      </c>
      <c r="C122" s="21" t="s">
        <v>161</v>
      </c>
      <c r="D122" s="36" t="s">
        <v>168</v>
      </c>
      <c r="E122" s="41" t="s">
        <v>15</v>
      </c>
      <c r="F122" s="42">
        <f>3843922.76+202311.73</f>
        <v>4046234.4899999998</v>
      </c>
      <c r="G122" s="42">
        <v>0</v>
      </c>
      <c r="H122" s="42">
        <v>0</v>
      </c>
    </row>
    <row r="123" spans="1:8" ht="31.5" x14ac:dyDescent="0.25">
      <c r="A123" s="48" t="s">
        <v>246</v>
      </c>
      <c r="B123" s="21" t="s">
        <v>110</v>
      </c>
      <c r="C123" s="21" t="s">
        <v>161</v>
      </c>
      <c r="D123" s="36" t="s">
        <v>258</v>
      </c>
      <c r="E123" s="41" t="s">
        <v>15</v>
      </c>
      <c r="F123" s="42">
        <v>709605.87</v>
      </c>
      <c r="G123" s="42">
        <f>709605.87</f>
        <v>709605.87</v>
      </c>
      <c r="H123" s="42">
        <f>709605.87</f>
        <v>709605.87</v>
      </c>
    </row>
    <row r="124" spans="1:8" ht="31.5" x14ac:dyDescent="0.25">
      <c r="A124" s="48" t="s">
        <v>221</v>
      </c>
      <c r="B124" s="41" t="s">
        <v>110</v>
      </c>
      <c r="C124" s="41" t="s">
        <v>176</v>
      </c>
      <c r="D124" s="41" t="s">
        <v>177</v>
      </c>
      <c r="E124" s="41" t="s">
        <v>15</v>
      </c>
      <c r="F124" s="42">
        <f>220000.37+9805.34</f>
        <v>229805.71</v>
      </c>
      <c r="G124" s="42">
        <v>220000.37</v>
      </c>
      <c r="H124" s="42">
        <v>220000.37</v>
      </c>
    </row>
    <row r="125" spans="1:8" ht="110.25" x14ac:dyDescent="0.25">
      <c r="A125" s="49" t="s">
        <v>178</v>
      </c>
      <c r="B125" s="41" t="s">
        <v>110</v>
      </c>
      <c r="C125" s="41" t="s">
        <v>179</v>
      </c>
      <c r="D125" s="41" t="s">
        <v>180</v>
      </c>
      <c r="E125" s="41" t="s">
        <v>15</v>
      </c>
      <c r="F125" s="42">
        <v>20647.68</v>
      </c>
      <c r="G125" s="42">
        <f>252000-231352.32</f>
        <v>20647.679999999993</v>
      </c>
      <c r="H125" s="42">
        <f>252000-231352.32</f>
        <v>20647.679999999993</v>
      </c>
    </row>
    <row r="126" spans="1:8" ht="31.5" x14ac:dyDescent="0.25">
      <c r="A126" s="49" t="s">
        <v>242</v>
      </c>
      <c r="B126" s="41" t="s">
        <v>110</v>
      </c>
      <c r="C126" s="41" t="s">
        <v>181</v>
      </c>
      <c r="D126" s="41" t="s">
        <v>182</v>
      </c>
      <c r="E126" s="41" t="s">
        <v>15</v>
      </c>
      <c r="F126" s="42">
        <v>209000</v>
      </c>
      <c r="G126" s="42">
        <v>209000</v>
      </c>
      <c r="H126" s="42">
        <v>209000</v>
      </c>
    </row>
    <row r="127" spans="1:8" ht="78.75" x14ac:dyDescent="0.25">
      <c r="A127" s="51" t="s">
        <v>183</v>
      </c>
      <c r="B127" s="41" t="s">
        <v>110</v>
      </c>
      <c r="C127" s="41" t="s">
        <v>181</v>
      </c>
      <c r="D127" s="41" t="s">
        <v>184</v>
      </c>
      <c r="E127" s="41" t="s">
        <v>15</v>
      </c>
      <c r="F127" s="42">
        <f>222700-222700</f>
        <v>0</v>
      </c>
      <c r="G127" s="42">
        <v>222700</v>
      </c>
      <c r="H127" s="42">
        <v>222700</v>
      </c>
    </row>
    <row r="128" spans="1:8" ht="63" x14ac:dyDescent="0.25">
      <c r="A128" s="51" t="s">
        <v>185</v>
      </c>
      <c r="B128" s="41" t="s">
        <v>110</v>
      </c>
      <c r="C128" s="41" t="s">
        <v>181</v>
      </c>
      <c r="D128" s="41" t="s">
        <v>184</v>
      </c>
      <c r="E128" s="41" t="s">
        <v>172</v>
      </c>
      <c r="F128" s="42">
        <v>222700</v>
      </c>
      <c r="G128" s="42">
        <v>0</v>
      </c>
      <c r="H128" s="42">
        <v>0</v>
      </c>
    </row>
    <row r="129" spans="1:9" ht="78.75" x14ac:dyDescent="0.25">
      <c r="A129" s="51" t="s">
        <v>265</v>
      </c>
      <c r="B129" s="41" t="s">
        <v>110</v>
      </c>
      <c r="C129" s="41" t="s">
        <v>181</v>
      </c>
      <c r="D129" s="41" t="s">
        <v>187</v>
      </c>
      <c r="E129" s="41" t="s">
        <v>15</v>
      </c>
      <c r="F129" s="42">
        <f>60000-60000</f>
        <v>0</v>
      </c>
      <c r="G129" s="42">
        <v>60000</v>
      </c>
      <c r="H129" s="42">
        <v>60000</v>
      </c>
    </row>
    <row r="130" spans="1:9" ht="63" x14ac:dyDescent="0.25">
      <c r="A130" s="51" t="s">
        <v>186</v>
      </c>
      <c r="B130" s="41" t="s">
        <v>110</v>
      </c>
      <c r="C130" s="41" t="s">
        <v>181</v>
      </c>
      <c r="D130" s="41" t="s">
        <v>187</v>
      </c>
      <c r="E130" s="41" t="s">
        <v>172</v>
      </c>
      <c r="F130" s="42">
        <v>60000</v>
      </c>
      <c r="G130" s="42">
        <v>0</v>
      </c>
      <c r="H130" s="42">
        <v>0</v>
      </c>
    </row>
    <row r="131" spans="1:9" ht="63" x14ac:dyDescent="0.25">
      <c r="A131" s="49" t="s">
        <v>188</v>
      </c>
      <c r="B131" s="41" t="s">
        <v>110</v>
      </c>
      <c r="C131" s="41" t="s">
        <v>189</v>
      </c>
      <c r="D131" s="40" t="s">
        <v>190</v>
      </c>
      <c r="E131" s="41" t="s">
        <v>17</v>
      </c>
      <c r="F131" s="42">
        <v>102970</v>
      </c>
      <c r="G131" s="42">
        <v>102970</v>
      </c>
      <c r="H131" s="42">
        <v>102970</v>
      </c>
    </row>
    <row r="132" spans="1:9" ht="31.5" x14ac:dyDescent="0.25">
      <c r="A132" s="63" t="s">
        <v>234</v>
      </c>
      <c r="B132" s="41" t="s">
        <v>110</v>
      </c>
      <c r="C132" s="41" t="s">
        <v>189</v>
      </c>
      <c r="D132" s="41" t="s">
        <v>233</v>
      </c>
      <c r="E132" s="41" t="s">
        <v>15</v>
      </c>
      <c r="F132" s="42">
        <v>336000</v>
      </c>
      <c r="G132" s="42">
        <v>336000</v>
      </c>
      <c r="H132" s="42">
        <v>336000</v>
      </c>
    </row>
    <row r="133" spans="1:9" ht="47.25" x14ac:dyDescent="0.25">
      <c r="A133" s="63" t="s">
        <v>191</v>
      </c>
      <c r="B133" s="41" t="s">
        <v>110</v>
      </c>
      <c r="C133" s="41" t="s">
        <v>189</v>
      </c>
      <c r="D133" s="41" t="s">
        <v>192</v>
      </c>
      <c r="E133" s="41" t="s">
        <v>15</v>
      </c>
      <c r="F133" s="42">
        <f>170000-170000</f>
        <v>0</v>
      </c>
      <c r="G133" s="42">
        <v>170000</v>
      </c>
      <c r="H133" s="42">
        <v>170000</v>
      </c>
    </row>
    <row r="134" spans="1:9" ht="31.5" x14ac:dyDescent="0.25">
      <c r="A134" s="62" t="s">
        <v>193</v>
      </c>
      <c r="B134" s="40" t="s">
        <v>110</v>
      </c>
      <c r="C134" s="40" t="s">
        <v>189</v>
      </c>
      <c r="D134" s="40" t="s">
        <v>192</v>
      </c>
      <c r="E134" s="40" t="s">
        <v>172</v>
      </c>
      <c r="F134" s="39">
        <v>170000</v>
      </c>
      <c r="G134" s="39">
        <v>0</v>
      </c>
      <c r="H134" s="39">
        <v>0</v>
      </c>
    </row>
    <row r="135" spans="1:9" ht="15.75" x14ac:dyDescent="0.25">
      <c r="A135" s="64" t="s">
        <v>194</v>
      </c>
      <c r="B135" s="43" t="s">
        <v>110</v>
      </c>
      <c r="C135" s="43" t="s">
        <v>189</v>
      </c>
      <c r="D135" s="43" t="s">
        <v>195</v>
      </c>
      <c r="E135" s="43" t="s">
        <v>17</v>
      </c>
      <c r="F135" s="44">
        <f>45375-4125</f>
        <v>41250</v>
      </c>
      <c r="G135" s="44">
        <v>41250</v>
      </c>
      <c r="H135" s="44">
        <v>41250</v>
      </c>
    </row>
    <row r="136" spans="1:9" ht="31.5" x14ac:dyDescent="0.25">
      <c r="A136" s="49" t="s">
        <v>243</v>
      </c>
      <c r="B136" s="40" t="s">
        <v>110</v>
      </c>
      <c r="C136" s="40" t="s">
        <v>189</v>
      </c>
      <c r="D136" s="40" t="s">
        <v>244</v>
      </c>
      <c r="E136" s="40" t="s">
        <v>15</v>
      </c>
      <c r="F136" s="39">
        <v>80000</v>
      </c>
      <c r="G136" s="39">
        <v>80000</v>
      </c>
      <c r="H136" s="39">
        <v>80000</v>
      </c>
      <c r="I136" s="7"/>
    </row>
    <row r="137" spans="1:9" ht="31.5" x14ac:dyDescent="0.25">
      <c r="A137" s="58" t="s">
        <v>196</v>
      </c>
      <c r="B137" s="26" t="s">
        <v>110</v>
      </c>
      <c r="C137" s="26" t="s">
        <v>189</v>
      </c>
      <c r="D137" s="23" t="s">
        <v>197</v>
      </c>
      <c r="E137" s="26" t="s">
        <v>15</v>
      </c>
      <c r="F137" s="27">
        <f>1500000-1500000+1500000</f>
        <v>1500000</v>
      </c>
      <c r="G137" s="27">
        <f>1500000-1500000</f>
        <v>0</v>
      </c>
      <c r="H137" s="27">
        <f>1500000-1500000</f>
        <v>0</v>
      </c>
    </row>
    <row r="138" spans="1:9" ht="47.25" x14ac:dyDescent="0.25">
      <c r="A138" s="49" t="s">
        <v>198</v>
      </c>
      <c r="B138" s="23" t="s">
        <v>110</v>
      </c>
      <c r="C138" s="23" t="s">
        <v>47</v>
      </c>
      <c r="D138" s="23" t="s">
        <v>199</v>
      </c>
      <c r="E138" s="23" t="s">
        <v>39</v>
      </c>
      <c r="F138" s="18">
        <f>4682986.2+2434396.43-115062.95+21326.76</f>
        <v>7023646.4400000004</v>
      </c>
      <c r="G138" s="18">
        <f>4034561.17+2311498.72</f>
        <v>6346059.8900000006</v>
      </c>
      <c r="H138" s="18">
        <f>4034561.17+2311498.72</f>
        <v>6346059.8900000006</v>
      </c>
    </row>
    <row r="139" spans="1:9" ht="78.75" x14ac:dyDescent="0.25">
      <c r="A139" s="63" t="s">
        <v>200</v>
      </c>
      <c r="B139" s="17" t="s">
        <v>110</v>
      </c>
      <c r="C139" s="17" t="s">
        <v>47</v>
      </c>
      <c r="D139" s="24" t="s">
        <v>201</v>
      </c>
      <c r="E139" s="17" t="s">
        <v>39</v>
      </c>
      <c r="F139" s="37">
        <v>2186196</v>
      </c>
      <c r="G139" s="37">
        <v>0</v>
      </c>
      <c r="H139" s="37">
        <v>0</v>
      </c>
    </row>
    <row r="140" spans="1:9" ht="78.75" x14ac:dyDescent="0.25">
      <c r="A140" s="63" t="s">
        <v>260</v>
      </c>
      <c r="B140" s="17" t="s">
        <v>110</v>
      </c>
      <c r="C140" s="17" t="s">
        <v>47</v>
      </c>
      <c r="D140" s="24" t="s">
        <v>259</v>
      </c>
      <c r="E140" s="17" t="s">
        <v>39</v>
      </c>
      <c r="F140" s="37">
        <v>115062.95</v>
      </c>
      <c r="G140" s="37">
        <v>0</v>
      </c>
      <c r="H140" s="37">
        <v>0</v>
      </c>
    </row>
    <row r="141" spans="1:9" ht="47.25" x14ac:dyDescent="0.25">
      <c r="A141" s="63" t="s">
        <v>97</v>
      </c>
      <c r="B141" s="21" t="s">
        <v>110</v>
      </c>
      <c r="C141" s="21" t="s">
        <v>98</v>
      </c>
      <c r="D141" s="23" t="s">
        <v>99</v>
      </c>
      <c r="E141" s="21" t="s">
        <v>15</v>
      </c>
      <c r="F141" s="37">
        <v>100000</v>
      </c>
      <c r="G141" s="37">
        <v>100000</v>
      </c>
      <c r="H141" s="37">
        <v>100000</v>
      </c>
    </row>
    <row r="142" spans="1:9" ht="31.5" x14ac:dyDescent="0.25">
      <c r="A142" s="62" t="s">
        <v>202</v>
      </c>
      <c r="B142" s="23" t="s">
        <v>110</v>
      </c>
      <c r="C142" s="23" t="s">
        <v>203</v>
      </c>
      <c r="D142" s="23" t="s">
        <v>204</v>
      </c>
      <c r="E142" s="23" t="s">
        <v>70</v>
      </c>
      <c r="F142" s="18">
        <v>1864273.2</v>
      </c>
      <c r="G142" s="18">
        <v>1864273.2</v>
      </c>
      <c r="H142" s="18">
        <v>1864273.2</v>
      </c>
    </row>
    <row r="143" spans="1:9" ht="47.25" x14ac:dyDescent="0.25">
      <c r="A143" s="49" t="s">
        <v>205</v>
      </c>
      <c r="B143" s="41" t="s">
        <v>110</v>
      </c>
      <c r="C143" s="41" t="s">
        <v>206</v>
      </c>
      <c r="D143" s="21" t="s">
        <v>207</v>
      </c>
      <c r="E143" s="41" t="s">
        <v>70</v>
      </c>
      <c r="F143" s="42">
        <f>115864.56</f>
        <v>115864.56</v>
      </c>
      <c r="G143" s="42">
        <f>79656.89</f>
        <v>79656.89</v>
      </c>
      <c r="H143" s="42">
        <f>36207.68</f>
        <v>36207.68</v>
      </c>
    </row>
    <row r="144" spans="1:9" ht="78.75" x14ac:dyDescent="0.25">
      <c r="A144" s="58" t="s">
        <v>208</v>
      </c>
      <c r="B144" s="43" t="s">
        <v>110</v>
      </c>
      <c r="C144" s="43" t="s">
        <v>206</v>
      </c>
      <c r="D144" s="45" t="s">
        <v>209</v>
      </c>
      <c r="E144" s="43" t="s">
        <v>70</v>
      </c>
      <c r="F144" s="44">
        <f>86898.42</f>
        <v>86898.42</v>
      </c>
      <c r="G144" s="44">
        <f>37242.18</f>
        <v>37242.18</v>
      </c>
      <c r="H144" s="44">
        <f>49656.24</f>
        <v>49656.24</v>
      </c>
    </row>
    <row r="145" spans="1:8" ht="47.25" x14ac:dyDescent="0.25">
      <c r="A145" s="58" t="s">
        <v>210</v>
      </c>
      <c r="B145" s="26" t="s">
        <v>110</v>
      </c>
      <c r="C145" s="26" t="s">
        <v>206</v>
      </c>
      <c r="D145" s="26" t="s">
        <v>211</v>
      </c>
      <c r="E145" s="26" t="s">
        <v>39</v>
      </c>
      <c r="F145" s="27">
        <v>122500</v>
      </c>
      <c r="G145" s="27">
        <f>122500-117275.72</f>
        <v>5224.2799999999988</v>
      </c>
      <c r="H145" s="27">
        <v>122500</v>
      </c>
    </row>
    <row r="146" spans="1:8" ht="63" x14ac:dyDescent="0.25">
      <c r="A146" s="58" t="s">
        <v>212</v>
      </c>
      <c r="B146" s="26" t="s">
        <v>110</v>
      </c>
      <c r="C146" s="26" t="s">
        <v>78</v>
      </c>
      <c r="D146" s="26" t="s">
        <v>213</v>
      </c>
      <c r="E146" s="26" t="s">
        <v>214</v>
      </c>
      <c r="F146" s="27">
        <v>944222.4</v>
      </c>
      <c r="G146" s="27">
        <v>1888444.8</v>
      </c>
      <c r="H146" s="27">
        <v>1888444.8</v>
      </c>
    </row>
    <row r="147" spans="1:8" ht="31.5" x14ac:dyDescent="0.25">
      <c r="A147" s="58" t="s">
        <v>215</v>
      </c>
      <c r="B147" s="26" t="s">
        <v>110</v>
      </c>
      <c r="C147" s="26" t="s">
        <v>216</v>
      </c>
      <c r="D147" s="26" t="s">
        <v>217</v>
      </c>
      <c r="E147" s="26" t="s">
        <v>15</v>
      </c>
      <c r="F147" s="27">
        <f>100000</f>
        <v>100000</v>
      </c>
      <c r="G147" s="27">
        <v>100000</v>
      </c>
      <c r="H147" s="27">
        <v>100000</v>
      </c>
    </row>
    <row r="148" spans="1:8" ht="15.75" x14ac:dyDescent="0.25">
      <c r="A148" s="8" t="s">
        <v>218</v>
      </c>
      <c r="B148" s="28"/>
      <c r="C148" s="28"/>
      <c r="D148" s="28"/>
      <c r="E148" s="28"/>
      <c r="F148" s="35">
        <f>F6+F67+F76+F81</f>
        <v>410855605.83999997</v>
      </c>
      <c r="G148" s="35">
        <f>G6+G67+G76+G81</f>
        <v>342825431.41999996</v>
      </c>
      <c r="H148" s="35">
        <f>H6+H67+H76+H81</f>
        <v>324606462.87</v>
      </c>
    </row>
  </sheetData>
  <mergeCells count="4">
    <mergeCell ref="F1:H1"/>
    <mergeCell ref="A2:H2"/>
    <mergeCell ref="G4:H4"/>
    <mergeCell ref="A3:H3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zoomScale="70" zoomScaleNormal="70" workbookViewId="0">
      <selection activeCell="A3" sqref="A3:H3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SUM(F7:F7)</f>
        <v>7343280</v>
      </c>
      <c r="G6" s="16">
        <f>SUM(G7:G7)</f>
        <v>7343280</v>
      </c>
      <c r="H6" s="16">
        <f>SUM(H7:H7)</f>
        <v>7265160</v>
      </c>
      <c r="L6" s="11"/>
      <c r="M6" s="11"/>
      <c r="N6" s="11"/>
    </row>
    <row r="7" spans="1:14" ht="110.25" x14ac:dyDescent="0.25">
      <c r="A7" s="48" t="s">
        <v>236</v>
      </c>
      <c r="B7" s="24" t="s">
        <v>9</v>
      </c>
      <c r="C7" s="24" t="s">
        <v>30</v>
      </c>
      <c r="D7" s="23" t="s">
        <v>35</v>
      </c>
      <c r="E7" s="24" t="s">
        <v>13</v>
      </c>
      <c r="F7" s="18">
        <v>7343280</v>
      </c>
      <c r="G7" s="18">
        <v>7343280</v>
      </c>
      <c r="H7" s="18">
        <v>7265160</v>
      </c>
    </row>
    <row r="9" spans="1:14" ht="45" customHeight="1" x14ac:dyDescent="0.25"/>
    <row r="10" spans="1:14" ht="63" customHeight="1" x14ac:dyDescent="0.4">
      <c r="A10" s="78" t="s">
        <v>277</v>
      </c>
      <c r="B10" s="79"/>
      <c r="C10" s="79"/>
      <c r="D10" s="79"/>
      <c r="E10" s="79"/>
      <c r="F10" s="79"/>
      <c r="G10" s="79"/>
      <c r="H10" s="79"/>
    </row>
  </sheetData>
  <mergeCells count="5">
    <mergeCell ref="A10:H10"/>
    <mergeCell ref="G4:H4"/>
    <mergeCell ref="A1:H1"/>
    <mergeCell ref="A2:H2"/>
    <mergeCell ref="A3:H3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zoomScale="70" zoomScaleNormal="70" workbookViewId="0">
      <selection activeCell="A9" sqref="A9:XFD16"/>
    </sheetView>
  </sheetViews>
  <sheetFormatPr defaultColWidth="91" defaultRowHeight="15" x14ac:dyDescent="0.25"/>
  <cols>
    <col min="1" max="1" width="95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SUM(F7:F7)</f>
        <v>10248297.289999999</v>
      </c>
      <c r="G6" s="16">
        <f>SUM(G7:G7)</f>
        <v>10658294.26</v>
      </c>
      <c r="H6" s="16">
        <f>SUM(H7:H7)</f>
        <v>10957657.130000001</v>
      </c>
      <c r="L6" s="11"/>
      <c r="M6" s="11"/>
      <c r="N6" s="11"/>
    </row>
    <row r="7" spans="1:14" ht="95.25" customHeight="1" x14ac:dyDescent="0.25">
      <c r="A7" s="48" t="s">
        <v>239</v>
      </c>
      <c r="B7" s="23" t="s">
        <v>9</v>
      </c>
      <c r="C7" s="23" t="s">
        <v>30</v>
      </c>
      <c r="D7" s="23" t="s">
        <v>40</v>
      </c>
      <c r="E7" s="23" t="s">
        <v>15</v>
      </c>
      <c r="F7" s="18">
        <f>10210679+37618.29</f>
        <v>10248297.289999999</v>
      </c>
      <c r="G7" s="18">
        <f>10619171+39123.26</f>
        <v>10658294.26</v>
      </c>
      <c r="H7" s="18">
        <f>10917435+40222.13</f>
        <v>10957657.130000001</v>
      </c>
    </row>
    <row r="9" spans="1:14" ht="15.75" x14ac:dyDescent="0.25">
      <c r="A9" s="66" t="s">
        <v>278</v>
      </c>
      <c r="B9" s="66"/>
      <c r="C9" s="66"/>
      <c r="D9" s="66"/>
      <c r="E9" s="66"/>
      <c r="F9" s="66"/>
      <c r="G9" s="66"/>
      <c r="H9" s="66"/>
    </row>
    <row r="10" spans="1:14" ht="15.75" x14ac:dyDescent="0.25">
      <c r="A10" s="66" t="s">
        <v>282</v>
      </c>
      <c r="B10" s="66"/>
      <c r="C10" s="66"/>
      <c r="D10" s="66"/>
      <c r="E10" s="66"/>
      <c r="F10" s="66"/>
      <c r="G10" s="66"/>
      <c r="H10" s="66"/>
    </row>
    <row r="11" spans="1:14" ht="13.5" customHeight="1" x14ac:dyDescent="0.25">
      <c r="A11" s="66"/>
      <c r="B11" s="66"/>
      <c r="C11" s="66"/>
      <c r="D11" s="66"/>
      <c r="E11" s="66"/>
      <c r="F11" s="66"/>
      <c r="G11" s="66"/>
      <c r="H11" s="66"/>
    </row>
    <row r="12" spans="1:14" ht="18" customHeight="1" x14ac:dyDescent="0.25">
      <c r="A12" s="86" t="s">
        <v>283</v>
      </c>
      <c r="B12" s="87"/>
      <c r="C12" s="87"/>
      <c r="D12" s="87"/>
      <c r="E12" s="87"/>
      <c r="F12" s="87"/>
      <c r="G12" s="87"/>
      <c r="H12" s="87"/>
    </row>
    <row r="13" spans="1:14" ht="15.75" x14ac:dyDescent="0.25">
      <c r="A13" s="68"/>
      <c r="B13" s="66"/>
      <c r="C13" s="66"/>
      <c r="D13" s="66"/>
      <c r="E13" s="66"/>
      <c r="F13" s="66"/>
      <c r="G13" s="66"/>
      <c r="H13" s="66"/>
    </row>
    <row r="14" spans="1:14" x14ac:dyDescent="0.25">
      <c r="A14" s="86" t="s">
        <v>284</v>
      </c>
      <c r="B14" s="88"/>
      <c r="C14" s="88"/>
      <c r="D14" s="88"/>
      <c r="E14" s="88"/>
      <c r="F14" s="88"/>
      <c r="G14" s="88"/>
      <c r="H14" s="88"/>
    </row>
    <row r="16" spans="1:14" x14ac:dyDescent="0.25">
      <c r="A16" s="86" t="s">
        <v>285</v>
      </c>
      <c r="B16" s="88"/>
      <c r="C16" s="88"/>
      <c r="D16" s="88"/>
      <c r="E16" s="88"/>
      <c r="F16" s="88"/>
      <c r="G16" s="88"/>
      <c r="H16" s="88"/>
    </row>
    <row r="17" spans="1:8" ht="37.5" customHeight="1" x14ac:dyDescent="0.25">
      <c r="A17" s="68"/>
      <c r="B17" s="69"/>
      <c r="C17" s="69"/>
      <c r="D17" s="69"/>
      <c r="E17" s="69"/>
      <c r="F17" s="69"/>
      <c r="G17" s="69"/>
      <c r="H17" s="69"/>
    </row>
    <row r="18" spans="1:8" ht="63" customHeight="1" x14ac:dyDescent="0.4">
      <c r="A18" s="78" t="s">
        <v>277</v>
      </c>
      <c r="B18" s="79"/>
      <c r="C18" s="79"/>
      <c r="D18" s="79"/>
      <c r="E18" s="79"/>
      <c r="F18" s="79"/>
      <c r="G18" s="79"/>
      <c r="H18" s="79"/>
    </row>
  </sheetData>
  <mergeCells count="8">
    <mergeCell ref="A18:H18"/>
    <mergeCell ref="G4:H4"/>
    <mergeCell ref="A1:H1"/>
    <mergeCell ref="A2:H2"/>
    <mergeCell ref="A3:H3"/>
    <mergeCell ref="A12:H12"/>
    <mergeCell ref="A14:H14"/>
    <mergeCell ref="A16:H16"/>
  </mergeCells>
  <pageMargins left="0.31496062992125984" right="0.31496062992125984" top="0.35433070866141736" bottom="0.35433070866141736" header="0.31496062992125984" footer="0.31496062992125984"/>
  <pageSetup paperSize="9" scale="4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zoomScale="70" zoomScaleNormal="70" workbookViewId="0">
      <selection activeCell="A9" sqref="A9:XFD12"/>
    </sheetView>
  </sheetViews>
  <sheetFormatPr defaultColWidth="91" defaultRowHeight="15" x14ac:dyDescent="0.25"/>
  <cols>
    <col min="1" max="1" width="92.425781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SUM(F7:F7)</f>
        <v>1568904.26</v>
      </c>
      <c r="G6" s="16">
        <f>SUM(G7:G7)</f>
        <v>0</v>
      </c>
      <c r="H6" s="16">
        <f>SUM(H7:H7)</f>
        <v>0</v>
      </c>
      <c r="L6" s="11"/>
      <c r="M6" s="11"/>
      <c r="N6" s="11"/>
    </row>
    <row r="7" spans="1:14" ht="63" x14ac:dyDescent="0.25">
      <c r="A7" s="51" t="s">
        <v>228</v>
      </c>
      <c r="B7" s="23" t="s">
        <v>9</v>
      </c>
      <c r="C7" s="23" t="s">
        <v>30</v>
      </c>
      <c r="D7" s="23" t="s">
        <v>223</v>
      </c>
      <c r="E7" s="23" t="s">
        <v>15</v>
      </c>
      <c r="F7" s="18">
        <f>1568745.8+158.46</f>
        <v>1568904.26</v>
      </c>
      <c r="G7" s="18">
        <v>0</v>
      </c>
      <c r="H7" s="18">
        <v>0</v>
      </c>
    </row>
    <row r="9" spans="1:14" ht="15.75" x14ac:dyDescent="0.25">
      <c r="A9" s="66" t="s">
        <v>278</v>
      </c>
      <c r="B9" s="66"/>
      <c r="C9" s="66"/>
      <c r="D9" s="66"/>
      <c r="E9" s="66"/>
      <c r="F9" s="66"/>
      <c r="G9" s="66"/>
      <c r="H9" s="66"/>
    </row>
    <row r="10" spans="1:14" ht="34.5" customHeight="1" x14ac:dyDescent="0.25">
      <c r="A10" s="86" t="s">
        <v>286</v>
      </c>
      <c r="B10" s="87"/>
      <c r="C10" s="87"/>
      <c r="D10" s="87"/>
      <c r="E10" s="87"/>
      <c r="F10" s="87"/>
      <c r="G10" s="87"/>
      <c r="H10" s="87"/>
    </row>
    <row r="11" spans="1:14" ht="13.5" customHeight="1" x14ac:dyDescent="0.25">
      <c r="A11" s="66"/>
      <c r="B11" s="66"/>
      <c r="C11" s="66"/>
      <c r="D11" s="66"/>
      <c r="E11" s="66"/>
      <c r="F11" s="66"/>
      <c r="G11" s="66"/>
      <c r="H11" s="66"/>
    </row>
    <row r="12" spans="1:14" ht="18" customHeight="1" x14ac:dyDescent="0.25">
      <c r="A12" s="86" t="s">
        <v>287</v>
      </c>
      <c r="B12" s="87"/>
      <c r="C12" s="87"/>
      <c r="D12" s="87"/>
      <c r="E12" s="87"/>
      <c r="F12" s="87"/>
      <c r="G12" s="87"/>
      <c r="H12" s="87"/>
    </row>
    <row r="13" spans="1:14" ht="39.75" customHeight="1" x14ac:dyDescent="0.25">
      <c r="A13" s="65"/>
    </row>
    <row r="14" spans="1:14" ht="63" customHeight="1" x14ac:dyDescent="0.4">
      <c r="A14" s="78" t="s">
        <v>277</v>
      </c>
      <c r="B14" s="79"/>
      <c r="C14" s="79"/>
      <c r="D14" s="79"/>
      <c r="E14" s="79"/>
      <c r="F14" s="79"/>
      <c r="G14" s="79"/>
      <c r="H14" s="79"/>
    </row>
  </sheetData>
  <mergeCells count="7">
    <mergeCell ref="A14:H14"/>
    <mergeCell ref="G4:H4"/>
    <mergeCell ref="A1:H1"/>
    <mergeCell ref="A2:H2"/>
    <mergeCell ref="A3:H3"/>
    <mergeCell ref="A10:H10"/>
    <mergeCell ref="A12:H12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zoomScale="70" zoomScaleNormal="70" workbookViewId="0">
      <selection activeCell="A9" sqref="A9:XFD14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SUM(F7:F7)</f>
        <v>2409162.5300000003</v>
      </c>
      <c r="G6" s="16">
        <f>SUM(G7:G7)</f>
        <v>2363531.6500000004</v>
      </c>
      <c r="H6" s="16">
        <f>SUM(H7:H7)</f>
        <v>0</v>
      </c>
      <c r="L6" s="11"/>
      <c r="M6" s="11"/>
      <c r="N6" s="11"/>
    </row>
    <row r="7" spans="1:14" ht="47.25" x14ac:dyDescent="0.25">
      <c r="A7" s="51" t="s">
        <v>226</v>
      </c>
      <c r="B7" s="23" t="s">
        <v>9</v>
      </c>
      <c r="C7" s="23" t="s">
        <v>30</v>
      </c>
      <c r="D7" s="23" t="s">
        <v>224</v>
      </c>
      <c r="E7" s="23" t="s">
        <v>15</v>
      </c>
      <c r="F7" s="18">
        <f>2408919.2+243.33</f>
        <v>2409162.5300000003</v>
      </c>
      <c r="G7" s="18">
        <f>2363292.93+238.72</f>
        <v>2363531.6500000004</v>
      </c>
      <c r="H7" s="18">
        <v>0</v>
      </c>
    </row>
    <row r="8" spans="1:14" ht="15.75" x14ac:dyDescent="0.25">
      <c r="A8" s="66"/>
      <c r="B8" s="66"/>
      <c r="C8" s="66"/>
      <c r="D8" s="66"/>
      <c r="E8" s="66"/>
      <c r="F8" s="66"/>
      <c r="G8" s="66"/>
      <c r="H8" s="66"/>
    </row>
    <row r="9" spans="1:14" ht="15.75" x14ac:dyDescent="0.25">
      <c r="A9" s="66" t="s">
        <v>278</v>
      </c>
      <c r="B9" s="66"/>
      <c r="C9" s="66"/>
      <c r="D9" s="66"/>
      <c r="E9" s="66"/>
      <c r="F9" s="66"/>
      <c r="G9" s="66"/>
      <c r="H9" s="66"/>
    </row>
    <row r="10" spans="1:14" ht="15.75" x14ac:dyDescent="0.25">
      <c r="A10" s="66" t="s">
        <v>279</v>
      </c>
      <c r="B10" s="66"/>
      <c r="C10" s="66"/>
      <c r="D10" s="66"/>
      <c r="E10" s="66"/>
      <c r="F10" s="66"/>
      <c r="G10" s="66"/>
      <c r="H10" s="66"/>
    </row>
    <row r="11" spans="1:14" ht="15.75" x14ac:dyDescent="0.25">
      <c r="A11" s="66"/>
      <c r="B11" s="66"/>
      <c r="C11" s="66"/>
      <c r="D11" s="66"/>
      <c r="E11" s="66"/>
      <c r="F11" s="66"/>
      <c r="G11" s="66"/>
      <c r="H11" s="66"/>
    </row>
    <row r="12" spans="1:14" x14ac:dyDescent="0.25">
      <c r="A12" s="86" t="s">
        <v>281</v>
      </c>
      <c r="B12" s="88"/>
      <c r="C12" s="88"/>
      <c r="D12" s="88"/>
      <c r="E12" s="88"/>
      <c r="F12" s="88"/>
      <c r="G12" s="88"/>
      <c r="H12" s="88"/>
    </row>
    <row r="13" spans="1:14" ht="15.75" x14ac:dyDescent="0.25">
      <c r="A13" s="67"/>
      <c r="B13" s="66"/>
      <c r="C13" s="66"/>
      <c r="D13" s="66"/>
      <c r="E13" s="66"/>
      <c r="F13" s="66"/>
      <c r="G13" s="66"/>
      <c r="H13" s="66"/>
    </row>
    <row r="14" spans="1:14" x14ac:dyDescent="0.25">
      <c r="A14" s="86" t="s">
        <v>280</v>
      </c>
      <c r="B14" s="88"/>
      <c r="C14" s="88"/>
      <c r="D14" s="88"/>
      <c r="E14" s="88"/>
      <c r="F14" s="88"/>
      <c r="G14" s="88"/>
      <c r="H14" s="88"/>
    </row>
    <row r="15" spans="1:14" ht="33" customHeight="1" x14ac:dyDescent="0.25">
      <c r="A15" s="67"/>
      <c r="B15" s="66"/>
      <c r="C15" s="66"/>
      <c r="D15" s="66"/>
      <c r="E15" s="66"/>
      <c r="F15" s="66"/>
      <c r="G15" s="66"/>
      <c r="H15" s="66"/>
    </row>
    <row r="16" spans="1:14" ht="63" customHeight="1" x14ac:dyDescent="0.4">
      <c r="A16" s="78" t="s">
        <v>277</v>
      </c>
      <c r="B16" s="79"/>
      <c r="C16" s="79"/>
      <c r="D16" s="79"/>
      <c r="E16" s="79"/>
      <c r="F16" s="79"/>
      <c r="G16" s="79"/>
      <c r="H16" s="79"/>
    </row>
  </sheetData>
  <mergeCells count="7">
    <mergeCell ref="A16:H16"/>
    <mergeCell ref="G4:H4"/>
    <mergeCell ref="A1:H1"/>
    <mergeCell ref="A2:H2"/>
    <mergeCell ref="A3:H3"/>
    <mergeCell ref="A12:H12"/>
    <mergeCell ref="A14:H14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zoomScale="70" zoomScaleNormal="70" workbookViewId="0">
      <selection activeCell="A9" sqref="A9:XFD14"/>
    </sheetView>
  </sheetViews>
  <sheetFormatPr defaultColWidth="91" defaultRowHeight="15" x14ac:dyDescent="0.25"/>
  <cols>
    <col min="1" max="1" width="95.710937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SUM(F7:F7)</f>
        <v>0</v>
      </c>
      <c r="G6" s="16">
        <f>SUM(G7:G7)</f>
        <v>273633.2</v>
      </c>
      <c r="H6" s="16">
        <f>SUM(H7:H7)</f>
        <v>272943.40000000002</v>
      </c>
      <c r="L6" s="11"/>
      <c r="M6" s="11"/>
      <c r="N6" s="11"/>
    </row>
    <row r="7" spans="1:14" ht="47.25" x14ac:dyDescent="0.25">
      <c r="A7" s="51" t="s">
        <v>240</v>
      </c>
      <c r="B7" s="23" t="s">
        <v>9</v>
      </c>
      <c r="C7" s="23" t="s">
        <v>47</v>
      </c>
      <c r="D7" s="23" t="s">
        <v>232</v>
      </c>
      <c r="E7" s="23" t="s">
        <v>15</v>
      </c>
      <c r="F7" s="18">
        <v>0</v>
      </c>
      <c r="G7" s="18">
        <f>273605.2+28</f>
        <v>273633.2</v>
      </c>
      <c r="H7" s="18">
        <f>272915.4+28</f>
        <v>272943.40000000002</v>
      </c>
    </row>
    <row r="9" spans="1:14" ht="15.75" x14ac:dyDescent="0.25">
      <c r="A9" s="66" t="s">
        <v>278</v>
      </c>
      <c r="B9" s="66"/>
      <c r="C9" s="66"/>
      <c r="D9" s="66"/>
      <c r="E9" s="66"/>
      <c r="F9" s="66"/>
      <c r="G9" s="66"/>
      <c r="H9" s="66"/>
    </row>
    <row r="10" spans="1:14" ht="15.75" x14ac:dyDescent="0.25">
      <c r="A10" s="66" t="s">
        <v>288</v>
      </c>
      <c r="B10" s="66"/>
      <c r="C10" s="66"/>
      <c r="D10" s="66"/>
      <c r="E10" s="66"/>
      <c r="F10" s="66"/>
      <c r="G10" s="66"/>
      <c r="H10" s="66"/>
    </row>
    <row r="11" spans="1:14" ht="13.5" customHeight="1" x14ac:dyDescent="0.25">
      <c r="A11" s="66"/>
      <c r="B11" s="66"/>
      <c r="C11" s="66"/>
      <c r="D11" s="66"/>
      <c r="E11" s="66"/>
      <c r="F11" s="66"/>
      <c r="G11" s="66"/>
      <c r="H11" s="66"/>
    </row>
    <row r="12" spans="1:14" x14ac:dyDescent="0.25">
      <c r="A12" s="86" t="s">
        <v>289</v>
      </c>
      <c r="B12" s="88"/>
      <c r="C12" s="88"/>
      <c r="D12" s="88"/>
      <c r="E12" s="88"/>
      <c r="F12" s="88"/>
      <c r="G12" s="88"/>
      <c r="H12" s="88"/>
    </row>
    <row r="14" spans="1:14" x14ac:dyDescent="0.25">
      <c r="A14" s="86" t="s">
        <v>290</v>
      </c>
      <c r="B14" s="88"/>
      <c r="C14" s="88"/>
      <c r="D14" s="88"/>
      <c r="E14" s="88"/>
      <c r="F14" s="88"/>
      <c r="G14" s="88"/>
      <c r="H14" s="88"/>
    </row>
    <row r="15" spans="1:14" ht="38.25" customHeight="1" x14ac:dyDescent="0.25">
      <c r="A15" s="65"/>
    </row>
    <row r="16" spans="1:14" ht="63" customHeight="1" x14ac:dyDescent="0.4">
      <c r="A16" s="78" t="s">
        <v>277</v>
      </c>
      <c r="B16" s="79"/>
      <c r="C16" s="79"/>
      <c r="D16" s="79"/>
      <c r="E16" s="79"/>
      <c r="F16" s="79"/>
      <c r="G16" s="79"/>
      <c r="H16" s="79"/>
    </row>
  </sheetData>
  <mergeCells count="7">
    <mergeCell ref="A16:H16"/>
    <mergeCell ref="G4:H4"/>
    <mergeCell ref="A1:H1"/>
    <mergeCell ref="A2:H2"/>
    <mergeCell ref="A3:H3"/>
    <mergeCell ref="A12:H12"/>
    <mergeCell ref="A14:H14"/>
  </mergeCells>
  <pageMargins left="0.31496062992125984" right="0.31496062992125984" top="0.35433070866141736" bottom="0.35433070866141736" header="0.31496062992125984" footer="0.31496062992125984"/>
  <pageSetup paperSize="9" scale="4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zoomScale="70" zoomScaleNormal="70" workbookViewId="0">
      <selection activeCell="A15" sqref="A15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SUM(F7:F7)</f>
        <v>1584567.51</v>
      </c>
      <c r="G6" s="16">
        <f>SUM(G7:G7)</f>
        <v>4691502.5999999996</v>
      </c>
      <c r="H6" s="16">
        <f>SUM(H7:H7)</f>
        <v>0</v>
      </c>
      <c r="L6" s="11"/>
      <c r="M6" s="11"/>
      <c r="N6" s="11"/>
    </row>
    <row r="7" spans="1:14" ht="47.25" x14ac:dyDescent="0.25">
      <c r="A7" s="52" t="s">
        <v>227</v>
      </c>
      <c r="B7" s="23" t="s">
        <v>9</v>
      </c>
      <c r="C7" s="23" t="s">
        <v>66</v>
      </c>
      <c r="D7" s="23" t="s">
        <v>225</v>
      </c>
      <c r="E7" s="23" t="s">
        <v>15</v>
      </c>
      <c r="F7" s="18">
        <f>1584407.41+160.1</f>
        <v>1584567.51</v>
      </c>
      <c r="G7" s="18">
        <f>4691028.6+474</f>
        <v>4691502.5999999996</v>
      </c>
      <c r="H7" s="18">
        <v>0</v>
      </c>
    </row>
    <row r="9" spans="1:14" ht="15.75" x14ac:dyDescent="0.25">
      <c r="A9" s="66" t="s">
        <v>278</v>
      </c>
      <c r="B9" s="66"/>
      <c r="C9" s="66"/>
      <c r="D9" s="66"/>
      <c r="E9" s="66"/>
      <c r="F9" s="66"/>
      <c r="G9" s="66"/>
      <c r="H9" s="66"/>
    </row>
    <row r="10" spans="1:14" ht="15.75" x14ac:dyDescent="0.25">
      <c r="A10" s="66" t="s">
        <v>293</v>
      </c>
      <c r="B10" s="66"/>
      <c r="C10" s="66"/>
      <c r="D10" s="66"/>
      <c r="E10" s="66"/>
      <c r="F10" s="66"/>
      <c r="G10" s="66"/>
      <c r="H10" s="66"/>
    </row>
    <row r="11" spans="1:14" ht="13.5" customHeight="1" x14ac:dyDescent="0.25">
      <c r="A11" s="66"/>
      <c r="B11" s="66"/>
      <c r="C11" s="66"/>
      <c r="D11" s="66"/>
      <c r="E11" s="66"/>
      <c r="F11" s="66"/>
      <c r="G11" s="66"/>
      <c r="H11" s="66"/>
    </row>
    <row r="12" spans="1:14" x14ac:dyDescent="0.25">
      <c r="A12" s="86" t="s">
        <v>294</v>
      </c>
      <c r="B12" s="88"/>
      <c r="C12" s="88"/>
      <c r="D12" s="88"/>
      <c r="E12" s="88"/>
      <c r="F12" s="88"/>
      <c r="G12" s="88"/>
      <c r="H12" s="88"/>
    </row>
    <row r="14" spans="1:14" x14ac:dyDescent="0.25">
      <c r="A14" s="86" t="s">
        <v>295</v>
      </c>
      <c r="B14" s="88"/>
      <c r="C14" s="88"/>
      <c r="D14" s="88"/>
      <c r="E14" s="88"/>
      <c r="F14" s="88"/>
      <c r="G14" s="88"/>
      <c r="H14" s="88"/>
    </row>
    <row r="15" spans="1:14" ht="42.75" customHeight="1" x14ac:dyDescent="0.25">
      <c r="A15" s="65"/>
    </row>
    <row r="16" spans="1:14" ht="63" customHeight="1" x14ac:dyDescent="0.4">
      <c r="A16" s="78" t="s">
        <v>277</v>
      </c>
      <c r="B16" s="79"/>
      <c r="C16" s="79"/>
      <c r="D16" s="79"/>
      <c r="E16" s="79"/>
      <c r="F16" s="79"/>
      <c r="G16" s="79"/>
      <c r="H16" s="79"/>
    </row>
  </sheetData>
  <mergeCells count="7">
    <mergeCell ref="A16:H16"/>
    <mergeCell ref="G4:H4"/>
    <mergeCell ref="A1:H1"/>
    <mergeCell ref="A2:H2"/>
    <mergeCell ref="A3:H3"/>
    <mergeCell ref="A12:H12"/>
    <mergeCell ref="A14:H14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="70" zoomScaleNormal="70" workbookViewId="0">
      <selection activeCell="A10" sqref="A10:XFD10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9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9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9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9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9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9" ht="15.75" x14ac:dyDescent="0.25">
      <c r="A6" s="61" t="s">
        <v>109</v>
      </c>
      <c r="B6" s="34" t="s">
        <v>110</v>
      </c>
      <c r="C6" s="34"/>
      <c r="D6" s="34"/>
      <c r="E6" s="34"/>
      <c r="F6" s="35">
        <f>SUM(F7:F8)</f>
        <v>2301258.9500000002</v>
      </c>
      <c r="G6" s="35">
        <f>SUM(G7:G8)</f>
        <v>0</v>
      </c>
      <c r="H6" s="35">
        <f>SUM(H7:H8)</f>
        <v>0</v>
      </c>
    </row>
    <row r="7" spans="1:9" ht="78.75" x14ac:dyDescent="0.25">
      <c r="A7" s="63" t="s">
        <v>200</v>
      </c>
      <c r="B7" s="17" t="s">
        <v>110</v>
      </c>
      <c r="C7" s="17" t="s">
        <v>47</v>
      </c>
      <c r="D7" s="24" t="s">
        <v>201</v>
      </c>
      <c r="E7" s="17" t="s">
        <v>39</v>
      </c>
      <c r="F7" s="37">
        <v>2186196</v>
      </c>
      <c r="G7" s="37">
        <v>0</v>
      </c>
      <c r="H7" s="37">
        <v>0</v>
      </c>
    </row>
    <row r="8" spans="1:9" ht="78.75" x14ac:dyDescent="0.25">
      <c r="A8" s="63" t="s">
        <v>260</v>
      </c>
      <c r="B8" s="17" t="s">
        <v>110</v>
      </c>
      <c r="C8" s="17" t="s">
        <v>47</v>
      </c>
      <c r="D8" s="24" t="s">
        <v>259</v>
      </c>
      <c r="E8" s="17" t="s">
        <v>39</v>
      </c>
      <c r="F8" s="37">
        <v>115062.95</v>
      </c>
      <c r="G8" s="37">
        <v>0</v>
      </c>
      <c r="H8" s="37">
        <v>0</v>
      </c>
    </row>
    <row r="9" spans="1:9" ht="42" customHeight="1" x14ac:dyDescent="0.25"/>
    <row r="10" spans="1:9" ht="63" customHeight="1" x14ac:dyDescent="0.4">
      <c r="A10" s="78" t="s">
        <v>277</v>
      </c>
      <c r="B10" s="79"/>
      <c r="C10" s="79"/>
      <c r="D10" s="79"/>
      <c r="E10" s="79"/>
      <c r="F10" s="79"/>
      <c r="G10" s="79"/>
      <c r="H10" s="79"/>
    </row>
  </sheetData>
  <mergeCells count="5">
    <mergeCell ref="A10:H10"/>
    <mergeCell ref="G4:H4"/>
    <mergeCell ref="A1:H1"/>
    <mergeCell ref="A2:H2"/>
    <mergeCell ref="A3:H3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zoomScale="70" zoomScaleNormal="70" workbookViewId="0">
      <selection activeCell="A10" sqref="A10:XFD15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78" customHeight="1" x14ac:dyDescent="0.25">
      <c r="A1" s="80" t="s">
        <v>276</v>
      </c>
      <c r="B1" s="81"/>
      <c r="C1" s="81"/>
      <c r="D1" s="81"/>
      <c r="E1" s="81"/>
      <c r="F1" s="81"/>
      <c r="G1" s="81"/>
      <c r="H1" s="81"/>
    </row>
    <row r="2" spans="1:14" ht="57" customHeight="1" x14ac:dyDescent="0.25">
      <c r="A2" s="82" t="s">
        <v>248</v>
      </c>
      <c r="B2" s="83"/>
      <c r="C2" s="83"/>
      <c r="D2" s="83"/>
      <c r="E2" s="83"/>
      <c r="F2" s="83"/>
      <c r="G2" s="83"/>
      <c r="H2" s="83"/>
    </row>
    <row r="3" spans="1:14" ht="91.5" customHeight="1" x14ac:dyDescent="0.25">
      <c r="A3" s="84" t="s">
        <v>275</v>
      </c>
      <c r="B3" s="85"/>
      <c r="C3" s="85"/>
      <c r="D3" s="85"/>
      <c r="E3" s="85"/>
      <c r="F3" s="85"/>
      <c r="G3" s="85"/>
      <c r="H3" s="85"/>
    </row>
    <row r="4" spans="1:14" ht="25.5" customHeight="1" x14ac:dyDescent="0.25">
      <c r="A4" s="4"/>
      <c r="B4" s="5"/>
      <c r="C4" s="5"/>
      <c r="D4" s="5"/>
      <c r="E4" s="5"/>
      <c r="F4" s="5"/>
      <c r="G4" s="77" t="s">
        <v>0</v>
      </c>
      <c r="H4" s="77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247</v>
      </c>
    </row>
    <row r="6" spans="1:14" ht="31.5" x14ac:dyDescent="0.25">
      <c r="A6" s="47" t="s">
        <v>8</v>
      </c>
      <c r="B6" s="15" t="s">
        <v>9</v>
      </c>
      <c r="C6" s="15"/>
      <c r="D6" s="15"/>
      <c r="E6" s="15"/>
      <c r="F6" s="16">
        <f>SUM(F7:F8)</f>
        <v>31578.959999999999</v>
      </c>
      <c r="G6" s="16">
        <f>SUM(G7:G8)</f>
        <v>0</v>
      </c>
      <c r="H6" s="16">
        <f>SUM(H7:H8)</f>
        <v>0</v>
      </c>
      <c r="L6" s="11"/>
      <c r="M6" s="11"/>
      <c r="N6" s="11"/>
    </row>
    <row r="7" spans="1:14" ht="47.25" x14ac:dyDescent="0.25">
      <c r="A7" s="49" t="s">
        <v>261</v>
      </c>
      <c r="B7" s="23" t="s">
        <v>9</v>
      </c>
      <c r="C7" s="23" t="s">
        <v>11</v>
      </c>
      <c r="D7" s="23" t="s">
        <v>262</v>
      </c>
      <c r="E7" s="23" t="s">
        <v>15</v>
      </c>
      <c r="F7" s="18">
        <f>15000+789.48</f>
        <v>15789.48</v>
      </c>
      <c r="G7" s="18">
        <v>0</v>
      </c>
      <c r="H7" s="18">
        <v>0</v>
      </c>
    </row>
    <row r="8" spans="1:14" ht="47.25" x14ac:dyDescent="0.25">
      <c r="A8" s="49" t="s">
        <v>272</v>
      </c>
      <c r="B8" s="23" t="s">
        <v>9</v>
      </c>
      <c r="C8" s="23" t="s">
        <v>30</v>
      </c>
      <c r="D8" s="23" t="s">
        <v>41</v>
      </c>
      <c r="E8" s="23" t="s">
        <v>15</v>
      </c>
      <c r="F8" s="18">
        <f>15000+789.48</f>
        <v>15789.48</v>
      </c>
      <c r="G8" s="18">
        <v>0</v>
      </c>
      <c r="H8" s="18">
        <v>0</v>
      </c>
    </row>
    <row r="10" spans="1:14" ht="15.75" x14ac:dyDescent="0.25">
      <c r="A10" s="66" t="s">
        <v>278</v>
      </c>
      <c r="B10" s="66"/>
      <c r="C10" s="66"/>
      <c r="D10" s="66"/>
      <c r="E10" s="66"/>
      <c r="F10" s="66"/>
      <c r="G10" s="66"/>
      <c r="H10" s="66"/>
    </row>
    <row r="11" spans="1:14" ht="21.75" customHeight="1" x14ac:dyDescent="0.25">
      <c r="A11" s="86" t="s">
        <v>291</v>
      </c>
      <c r="B11" s="87"/>
      <c r="C11" s="87"/>
      <c r="D11" s="87"/>
      <c r="E11" s="87"/>
      <c r="F11" s="87"/>
      <c r="G11" s="87"/>
      <c r="H11" s="87"/>
    </row>
    <row r="12" spans="1:14" ht="13.5" customHeight="1" x14ac:dyDescent="0.25">
      <c r="A12" s="66"/>
      <c r="B12" s="66"/>
      <c r="C12" s="66"/>
      <c r="D12" s="66"/>
      <c r="E12" s="66"/>
      <c r="F12" s="66"/>
      <c r="G12" s="66"/>
      <c r="H12" s="66"/>
    </row>
    <row r="13" spans="1:14" ht="18" customHeight="1" x14ac:dyDescent="0.25">
      <c r="A13" s="86" t="s">
        <v>292</v>
      </c>
      <c r="B13" s="87"/>
      <c r="C13" s="87"/>
      <c r="D13" s="87"/>
      <c r="E13" s="87"/>
      <c r="F13" s="87"/>
      <c r="G13" s="87"/>
      <c r="H13" s="87"/>
    </row>
    <row r="14" spans="1:14" ht="42" customHeight="1" x14ac:dyDescent="0.25"/>
    <row r="15" spans="1:14" ht="63" customHeight="1" x14ac:dyDescent="0.4">
      <c r="A15" s="78" t="s">
        <v>277</v>
      </c>
      <c r="B15" s="79"/>
      <c r="C15" s="79"/>
      <c r="D15" s="79"/>
      <c r="E15" s="79"/>
      <c r="F15" s="79"/>
      <c r="G15" s="79"/>
      <c r="H15" s="79"/>
    </row>
  </sheetData>
  <mergeCells count="7">
    <mergeCell ref="A15:H15"/>
    <mergeCell ref="A11:H11"/>
    <mergeCell ref="A13:H13"/>
    <mergeCell ref="G4:H4"/>
    <mergeCell ref="A1:H1"/>
    <mergeCell ref="A2:H2"/>
    <mergeCell ref="A3:H3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Второе чтение</vt:lpstr>
      <vt:lpstr>0702-53031</vt:lpstr>
      <vt:lpstr>0702-L3041</vt:lpstr>
      <vt:lpstr>0702-51690</vt:lpstr>
      <vt:lpstr>0702-50970</vt:lpstr>
      <vt:lpstr>0703-54910</vt:lpstr>
      <vt:lpstr>0709-52100</vt:lpstr>
      <vt:lpstr>0703-81430</vt:lpstr>
      <vt:lpstr>073-S1950</vt:lpstr>
      <vt:lpstr>0707-S0190</vt:lpstr>
      <vt:lpstr>0707-80200</vt:lpstr>
      <vt:lpstr>0703-81420</vt:lpstr>
      <vt:lpstr>0703-81440</vt:lpstr>
      <vt:lpstr>Январь</vt:lpstr>
      <vt:lpstr>'0702-50970'!Область_печати</vt:lpstr>
      <vt:lpstr>'0702-51690'!Область_печати</vt:lpstr>
      <vt:lpstr>'0702-53031'!Область_печати</vt:lpstr>
      <vt:lpstr>'0702-L3041'!Область_печати</vt:lpstr>
      <vt:lpstr>'0703-54910'!Область_печати</vt:lpstr>
      <vt:lpstr>'0703-81420'!Область_печати</vt:lpstr>
      <vt:lpstr>'0703-81430'!Область_печати</vt:lpstr>
      <vt:lpstr>'0703-81440'!Область_печати</vt:lpstr>
      <vt:lpstr>'0707-80200'!Область_печати</vt:lpstr>
      <vt:lpstr>'0707-S0190'!Область_печати</vt:lpstr>
      <vt:lpstr>'0709-52100'!Область_печати</vt:lpstr>
      <vt:lpstr>'073-S1950'!Область_печати</vt:lpstr>
      <vt:lpstr>'Второе чтение'!Область_печати</vt:lpstr>
      <vt:lpstr>Январь!Область_печати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Eko</cp:lastModifiedBy>
  <cp:lastPrinted>2022-01-26T10:12:14Z</cp:lastPrinted>
  <dcterms:created xsi:type="dcterms:W3CDTF">2021-01-26T11:28:42Z</dcterms:created>
  <dcterms:modified xsi:type="dcterms:W3CDTF">2022-01-31T14:04:33Z</dcterms:modified>
</cp:coreProperties>
</file>