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Gavrikova\d\СОВЕТ 2022\ПМР\Актуальная редакция ПМР\12.Декабрь ПМР\"/>
    </mc:Choice>
  </mc:AlternateContent>
  <bookViews>
    <workbookView xWindow="-120" yWindow="-120" windowWidth="25440" windowHeight="15390"/>
  </bookViews>
  <sheets>
    <sheet name="Декабрь" sheetId="50" r:id="rId1"/>
  </sheets>
  <definedNames>
    <definedName name="_xlnm.Print_Area" localSheetId="0">Декабрь!$A$1:$H$189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9" i="50" l="1"/>
  <c r="F118" i="50"/>
  <c r="F116" i="50"/>
  <c r="F126" i="50"/>
  <c r="F187" i="50"/>
  <c r="F181" i="50"/>
  <c r="F132" i="50"/>
  <c r="F131" i="50"/>
  <c r="F182" i="50"/>
  <c r="F111" i="50"/>
  <c r="F110" i="50"/>
  <c r="F109" i="50"/>
  <c r="F159" i="50"/>
  <c r="F117" i="50"/>
  <c r="F146" i="50"/>
  <c r="F145" i="50"/>
  <c r="F104" i="50"/>
  <c r="F94" i="50"/>
  <c r="F35" i="50"/>
  <c r="F33" i="50"/>
  <c r="F14" i="50"/>
  <c r="F30" i="50"/>
  <c r="F48" i="50"/>
  <c r="F42" i="50"/>
  <c r="F23" i="50" l="1"/>
  <c r="F19" i="50"/>
  <c r="F13" i="50"/>
  <c r="F12" i="50"/>
  <c r="F188" i="50" l="1"/>
  <c r="G186" i="50"/>
  <c r="H185" i="50"/>
  <c r="G185" i="50"/>
  <c r="F185" i="50"/>
  <c r="H184" i="50"/>
  <c r="G184" i="50"/>
  <c r="F184" i="50"/>
  <c r="F183" i="50"/>
  <c r="H178" i="50"/>
  <c r="G178" i="50"/>
  <c r="F178" i="50"/>
  <c r="F177" i="50"/>
  <c r="H176" i="50"/>
  <c r="H106" i="50" s="1"/>
  <c r="G176" i="50"/>
  <c r="G106" i="50" s="1"/>
  <c r="F176" i="50"/>
  <c r="F175" i="50"/>
  <c r="F174" i="50"/>
  <c r="F173" i="50"/>
  <c r="F172" i="50"/>
  <c r="F171" i="50"/>
  <c r="F167" i="50"/>
  <c r="F166" i="50"/>
  <c r="F163" i="50"/>
  <c r="F162" i="50"/>
  <c r="F161" i="50"/>
  <c r="F160" i="50"/>
  <c r="H159" i="50"/>
  <c r="G159" i="50"/>
  <c r="F158" i="50"/>
  <c r="F157" i="50"/>
  <c r="H156" i="50"/>
  <c r="G156" i="50"/>
  <c r="F156" i="50"/>
  <c r="F155" i="50"/>
  <c r="F154" i="50"/>
  <c r="G153" i="50"/>
  <c r="F152" i="50"/>
  <c r="H151" i="50"/>
  <c r="G151" i="50"/>
  <c r="F151" i="50"/>
  <c r="F150" i="50"/>
  <c r="H149" i="50"/>
  <c r="G149" i="50"/>
  <c r="F149" i="50"/>
  <c r="F148" i="50"/>
  <c r="F147" i="50"/>
  <c r="F144" i="50"/>
  <c r="H143" i="50"/>
  <c r="G143" i="50"/>
  <c r="F143" i="50"/>
  <c r="F142" i="50"/>
  <c r="F141" i="50"/>
  <c r="F140" i="50"/>
  <c r="F139" i="50"/>
  <c r="F137" i="50"/>
  <c r="F136" i="50"/>
  <c r="F133" i="50"/>
  <c r="F130" i="50"/>
  <c r="F129" i="50"/>
  <c r="F128" i="50"/>
  <c r="F125" i="50"/>
  <c r="F115" i="50"/>
  <c r="F113" i="50"/>
  <c r="F108" i="50"/>
  <c r="F107" i="50"/>
  <c r="F106" i="50"/>
  <c r="F103" i="50"/>
  <c r="H101" i="50"/>
  <c r="G101" i="50"/>
  <c r="F101" i="50"/>
  <c r="F100" i="50"/>
  <c r="F99" i="50"/>
  <c r="F96" i="50"/>
  <c r="H93" i="50"/>
  <c r="G93" i="50"/>
  <c r="G92" i="50" s="1"/>
  <c r="F93" i="50"/>
  <c r="F92" i="50" s="1"/>
  <c r="H92" i="50"/>
  <c r="H90" i="50"/>
  <c r="G90" i="50"/>
  <c r="F90" i="50"/>
  <c r="H89" i="50"/>
  <c r="G89" i="50"/>
  <c r="F89" i="50"/>
  <c r="H86" i="50"/>
  <c r="G86" i="50"/>
  <c r="F86" i="50"/>
  <c r="H85" i="50"/>
  <c r="G85" i="50"/>
  <c r="F85" i="50"/>
  <c r="F83" i="50"/>
  <c r="F82" i="50"/>
  <c r="H81" i="50"/>
  <c r="G81" i="50"/>
  <c r="F81" i="50"/>
  <c r="G77" i="50"/>
  <c r="F77" i="50"/>
  <c r="H76" i="50"/>
  <c r="G76" i="50"/>
  <c r="F76" i="50"/>
  <c r="H74" i="50"/>
  <c r="G74" i="50"/>
  <c r="F74" i="50"/>
  <c r="F72" i="50"/>
  <c r="F71" i="50"/>
  <c r="H69" i="50"/>
  <c r="G69" i="50"/>
  <c r="F69" i="50"/>
  <c r="H67" i="50"/>
  <c r="G67" i="50"/>
  <c r="G66" i="50"/>
  <c r="F66" i="50"/>
  <c r="H64" i="50"/>
  <c r="G64" i="50"/>
  <c r="F64" i="50"/>
  <c r="F62" i="50"/>
  <c r="F60" i="50"/>
  <c r="F58" i="50"/>
  <c r="F56" i="50"/>
  <c r="H55" i="50"/>
  <c r="G55" i="50"/>
  <c r="F55" i="50"/>
  <c r="H54" i="50"/>
  <c r="G54" i="50"/>
  <c r="F54" i="50"/>
  <c r="H53" i="50"/>
  <c r="G53" i="50"/>
  <c r="F53" i="50"/>
  <c r="H52" i="50"/>
  <c r="G52" i="50"/>
  <c r="F52" i="50"/>
  <c r="F50" i="50"/>
  <c r="F45" i="50"/>
  <c r="G44" i="50"/>
  <c r="F44" i="50"/>
  <c r="F43" i="50"/>
  <c r="H41" i="50"/>
  <c r="G41" i="50"/>
  <c r="F41" i="50"/>
  <c r="F40" i="50"/>
  <c r="F39" i="50"/>
  <c r="F38" i="50"/>
  <c r="H36" i="50"/>
  <c r="G36" i="50"/>
  <c r="F36" i="50"/>
  <c r="H33" i="50"/>
  <c r="G33" i="50"/>
  <c r="H31" i="50"/>
  <c r="G31" i="50"/>
  <c r="F31" i="50"/>
  <c r="H30" i="50"/>
  <c r="G30" i="50"/>
  <c r="H29" i="50"/>
  <c r="G29" i="50"/>
  <c r="F29" i="50"/>
  <c r="H28" i="50"/>
  <c r="G28" i="50"/>
  <c r="F28" i="50"/>
  <c r="H27" i="50"/>
  <c r="G27" i="50"/>
  <c r="F27" i="50"/>
  <c r="F26" i="50"/>
  <c r="F25" i="50"/>
  <c r="F24" i="50"/>
  <c r="H22" i="50"/>
  <c r="G22" i="50"/>
  <c r="F22" i="50"/>
  <c r="F18" i="50"/>
  <c r="F17" i="50"/>
  <c r="H14" i="50"/>
  <c r="H13" i="50"/>
  <c r="G13" i="50"/>
  <c r="H12" i="50"/>
  <c r="G12" i="50"/>
  <c r="H11" i="50"/>
  <c r="G11" i="50"/>
  <c r="F11" i="50"/>
  <c r="H10" i="50"/>
  <c r="G10" i="50"/>
  <c r="F10" i="50"/>
  <c r="H9" i="50"/>
  <c r="G9" i="50"/>
  <c r="F9" i="50"/>
  <c r="H8" i="50"/>
  <c r="H6" i="50" s="1"/>
  <c r="G8" i="50"/>
  <c r="G6" i="50" s="1"/>
  <c r="G189" i="50" s="1"/>
  <c r="F8" i="50"/>
  <c r="F6" i="50" s="1"/>
  <c r="F189" i="50" l="1"/>
  <c r="H189" i="50"/>
</calcChain>
</file>

<file path=xl/sharedStrings.xml><?xml version="1.0" encoding="utf-8"?>
<sst xmlns="http://schemas.openxmlformats.org/spreadsheetml/2006/main" count="916" uniqueCount="325">
  <si>
    <t>Единица измерения: руб.</t>
  </si>
  <si>
    <t>Наименование расходов</t>
  </si>
  <si>
    <t>Код главы</t>
  </si>
  <si>
    <t>Раздел, подраздел</t>
  </si>
  <si>
    <t>Целевая статья</t>
  </si>
  <si>
    <t>Вид расхода</t>
  </si>
  <si>
    <t>2022 год</t>
  </si>
  <si>
    <t>2023 год</t>
  </si>
  <si>
    <t>Муниципальное казённое учреждение отдел образования администрации Приволжского  муниципального района</t>
  </si>
  <si>
    <t>073</t>
  </si>
  <si>
    <t>Расходы на обеспечение деятельности (оказание услуг) муниципальных учреждений дошкольного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</si>
  <si>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0701</t>
  </si>
  <si>
    <t>03 1 01 01590</t>
  </si>
  <si>
    <t>100</t>
  </si>
  <si>
    <t>Расходы на обеспечение деятельности (оказание услуг) муниципальных учреждений дошкольного образования (Закупка товаров, работ и услуг для обеспечения государственных (муниципальных) нужд)</t>
  </si>
  <si>
    <t>200</t>
  </si>
  <si>
    <t>Расходы на обеспечение деятельности (оказание услуг) муниципальных учреждений дошкольного образования (Иные бюджетные ассигнования)</t>
  </si>
  <si>
    <t>800</t>
  </si>
  <si>
    <t>03 1 01 80170</t>
  </si>
  <si>
    <t>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</si>
  <si>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03 1 04 80100</t>
  </si>
  <si>
    <t>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 (Закупка товаров, работ и услуг для обеспечения государственных (муниципальных) нужд)</t>
  </si>
  <si>
    <t>Организация мероприятий по пожарной и антитеррористической безопасности (Закупка товаров, работ и услуг для обеспечения государственных (муниципальных) нужд)</t>
  </si>
  <si>
    <t>03 1 05 07590</t>
  </si>
  <si>
    <t>Проведение ремонтных работ образовательных учреждений (Закупка товаров, работ и услуг для обеспечения государственных (муниципальных) нужд)</t>
  </si>
  <si>
    <t>03 1 06 08590</t>
  </si>
  <si>
    <t xml:space="preserve">Расходы на мероприятия по обучению детей-инвалидов (Закупка товаров, работ и услуг для обеспечения государственных (муниципальных) нужд) </t>
  </si>
  <si>
    <t>03 5 01 01490</t>
  </si>
  <si>
    <t xml:space="preserve">Охрана труда (Закупка товаров, работ и услуг для обеспечения государственных (муниципальных) нужд) </t>
  </si>
  <si>
    <t>03 7 01 41100</t>
  </si>
  <si>
    <t>0702</t>
  </si>
  <si>
    <t>Расходы на обеспечение деятельности (оказание услуг) муниципальных учреждений общего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</si>
  <si>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03 1 02 02590</t>
  </si>
  <si>
    <t>Расходы на обеспечение деятельности (оказание услуг) муниципальных учреждений общего образования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</si>
  <si>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общего образования (Иные межбюджетные ассигнования)</t>
  </si>
  <si>
    <t>03 1 02 53031</t>
  </si>
  <si>
    <t>03 1 02 80150</t>
  </si>
  <si>
    <t>Возмещение затрат на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 (Предоставление субсидий бюджетным, автономным учреждениям и иным некоммерческим организациям)</t>
  </si>
  <si>
    <t>03 1 02 80160</t>
  </si>
  <si>
    <t>600</t>
  </si>
  <si>
    <t>03 1 02 L3041</t>
  </si>
  <si>
    <t>03 1 02 S1950</t>
  </si>
  <si>
    <t>Поддержка молодых специалистов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</si>
  <si>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03 3 01 06590</t>
  </si>
  <si>
    <t xml:space="preserve">Проведение государственной итоговой аттестации выпускников (Закупка товаров, работ и услуг для обеспечения государственных (муниципальных) нужд) </t>
  </si>
  <si>
    <t>03 6 01 01790</t>
  </si>
  <si>
    <t>Расходы на обеспечение деятельности (оказание услуг) муниципальных учреждений дополнительного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</si>
  <si>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0703</t>
  </si>
  <si>
    <t>03 1 03 03590</t>
  </si>
  <si>
    <t>Расходы на обеспечение деятельности (оказание услуг) муниципальных учреждений дополнительного образования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</si>
  <si>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дополнительного образования (Иные бюджетные ассигнования)</t>
  </si>
  <si>
    <t>Расходы, связанные с поэтапным доведением средней заработной платы педагогическим работникам иных муниципальных организаций дополнительного образования детей  до средней заработной платы учителей в Ивановской области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</si>
  <si>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03 1 03 81420</t>
  </si>
  <si>
    <t>Расходы на  поэтапное доведение средней заработной платы педагогическим работникам иных муниципальных организаций дополнительного образования детей  до средней заработной платы учителей в Ивановской области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</si>
  <si>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 1 03 S1420</t>
  </si>
  <si>
    <t>Расходы, связанные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 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</si>
  <si>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03 1 03 81440</t>
  </si>
  <si>
    <t>Расходы  на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</si>
  <si>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 1 03 S1440</t>
  </si>
  <si>
    <t>Расходы на проведение мероприятий для детей и молодежи (Закупка товаров, работ и услуг для обеспечения государственных (муниципальных) нужд)</t>
  </si>
  <si>
    <t>0707</t>
  </si>
  <si>
    <t>03 4 01 00100</t>
  </si>
  <si>
    <t>Расходы по организации отдыха детей в каникулярное время в части организации двухразового питания в лагерях дневного пребывания (Предоставление субсидий бюджетным, автономным учреждениям и иным некоммерческим организациям)</t>
  </si>
  <si>
    <t>03 4 02 S0190</t>
  </si>
  <si>
    <t>03 4 02 80200</t>
  </si>
  <si>
    <t>Расходы на обеспечение деятельности (оказание услуг) муниципальных учреждений общего образования (Предоставление субсидий бюджетным, автономным учреждениям и иным некоммерческим организациям)</t>
  </si>
  <si>
    <t>0709</t>
  </si>
  <si>
    <t>Организация мероприятий по поддержке одаренных детей  (Закупка товаров, работ и услуг для обеспечения государственных (муниципальных) нужд)</t>
  </si>
  <si>
    <t>03 2 01 05590</t>
  </si>
  <si>
    <t>Организация мероприятий по поддержке одаренных детей  (Социальное обеспечение и иные выплаты населению)</t>
  </si>
  <si>
    <t>300</t>
  </si>
  <si>
    <t>Поддержка молодых специалистов (Закупка товаров, работ и услуг для обеспечения государственных (муниципальных) нужд)</t>
  </si>
  <si>
    <t>Поддержка молодых специалистов (Социальное обеспечение и иные выплаты населению)</t>
  </si>
  <si>
    <t>Расходы на обеспечение деятельности (оказание услуг) муниципальных учреждений по другим вопросам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</si>
  <si>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42 9 00 04590</t>
  </si>
  <si>
    <t>Расходы на обеспечение деятельности (оказание услуг) муниципальных учреждений по другим вопросам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</si>
  <si>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по другим вопросам (Иные бюджетные ассигнования)</t>
  </si>
  <si>
    <t>Осуществление переданных органам местного самоуправления государственных полномочий Ивановской области 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</si>
  <si>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1004</t>
  </si>
  <si>
    <t>03 1 04 80110</t>
  </si>
  <si>
    <t>Расходы на реализацию спортивной подготовки в учреждениях дополнительного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</si>
  <si>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1101</t>
  </si>
  <si>
    <t>03 8 01 01890</t>
  </si>
  <si>
    <t>Расходы на реализацию спортивной подготовки в учреждениях дополнительного образования (Закупка товаров, работ и услуг для обеспечения государственных (муниципальных) нужд)</t>
  </si>
  <si>
    <t>Финансовое управление администрации Приволжского  муниципального района</t>
  </si>
  <si>
    <t>092</t>
  </si>
  <si>
    <t>Обеспечение функций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</si>
  <si>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0106</t>
  </si>
  <si>
    <t>40 9 00 01500</t>
  </si>
  <si>
    <t>Обеспечение функций органов местного самоуправления (Закупка товаров, работ и услуг для обеспечения государственных (муниципальных) нужд)</t>
  </si>
  <si>
    <t>Обеспечение функций органов местного самоуправления (Иные бюджетные ассигнования)</t>
  </si>
  <si>
    <t>Обеспечение функций органов местного самоуправления. Передача (исполнение) осуществления части полномочий в соответствии с заключенными соглашениями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</si>
  <si>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40 9 00 01510</t>
  </si>
  <si>
    <t>Обеспечение средствами информатизации (Закупка товаров, работ и услуг для обеспечения государственных (муниципальных) нужд)</t>
  </si>
  <si>
    <t>11 3 01 00080</t>
  </si>
  <si>
    <t>Диспансеризация муниципальных служащих  (Закупка товаров, работ и услуг для обеспечения государственных (муниципальных) нужд)</t>
  </si>
  <si>
    <t>11 4 01 00090</t>
  </si>
  <si>
    <t>Расходы на создание условий для профессионального развития и подготовки кадров муниципальной службы (Закупка товаров, работ и услуг для обеспечения государственных (муниципальных) нужд)</t>
  </si>
  <si>
    <t>0705</t>
  </si>
  <si>
    <t>11 1 01 02500</t>
  </si>
  <si>
    <t xml:space="preserve">Совет Приволжского муниципального района </t>
  </si>
  <si>
    <t>122</t>
  </si>
  <si>
    <t>Обеспечение функционирования представительного органа муниципального образования. Передача (исполнение) осуществления части полномочий в соответствии с заключенными соглашениями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</si>
  <si>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0103</t>
  </si>
  <si>
    <t>40 9 00 01520</t>
  </si>
  <si>
    <t>Обеспечение функционирования представительного органа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</si>
  <si>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40 9 00 01900</t>
  </si>
  <si>
    <t>Возмещение расходов депутатам, осуществляющим полномочия на непостоянной основе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</si>
  <si>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40 9 00 01910</t>
  </si>
  <si>
    <t>Администрация Приволжского  муниципального района</t>
  </si>
  <si>
    <t>303</t>
  </si>
  <si>
    <t>Обеспечение функционирования высшего должностного лица органа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</si>
  <si>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0102</t>
  </si>
  <si>
    <t>40 9 00 01700</t>
  </si>
  <si>
    <t>0104</t>
  </si>
  <si>
    <t>13 2 01 80360</t>
  </si>
  <si>
    <t>0105</t>
  </si>
  <si>
    <t>40 9 00 51200</t>
  </si>
  <si>
    <t>Резервный фонд Администрации Приволжского муниципального района (Иные бюджетные ассигнования)</t>
  </si>
  <si>
    <t>0111</t>
  </si>
  <si>
    <t>01 2 01 20810</t>
  </si>
  <si>
    <t xml:space="preserve">Организация учета муниципального имущества и проведение его технической инвентаризации (Закупка товаров, работ и услуг для обеспечения государственных (муниципальных) нужд) </t>
  </si>
  <si>
    <t>0113</t>
  </si>
  <si>
    <t>04 1 01 20910</t>
  </si>
  <si>
    <t>Расходы на содержание казны (Закупка товаров, работ и услуг для обеспечения государственных (муниципальных) нужд)</t>
  </si>
  <si>
    <t>04 1 01 20920</t>
  </si>
  <si>
    <t>Проведение независимой оценки размера арендной платы, рыночной стоимости муниципального имущества, а также земельных участков, находящихся в государственной собственности до разграничения (Закупка товаров, работ и услуг для обеспечения государственных (муниципальных) нужд)</t>
  </si>
  <si>
    <t>04 1 01 20930</t>
  </si>
  <si>
    <t>Выполнение кадастровых работ по межеванию, формированию земельных участков (Закупка товаров, работ и услуг для обеспечения государственных (муниципальных) нужд)</t>
  </si>
  <si>
    <t>04 2 01 20950</t>
  </si>
  <si>
    <t xml:space="preserve">Официальное опубликование правовых актов (Закупка товаров, работ и услуг для обеспечения государственных (муниципальных) нужд)
</t>
  </si>
  <si>
    <t>11 2 01 00040</t>
  </si>
  <si>
    <t>Приобретение элементов экипировки, устройств, обеспечивающих необходимый уровень защиты граждан и охраны общественного порядка на объектах и во время мероприятий с повышенными требованиями к безопасности  (Закупка товаров, работ и услуг для обеспечения государственных (муниципальных) нужд)</t>
  </si>
  <si>
    <t>13 1 01 03000</t>
  </si>
  <si>
    <t>Выплата единовременного денежного вознаграждения гражданам за добровольную сдачу незаконно хранящегося оружия, боеприпасов, взрывчатых веществ,взрывчатых устройств (Социальное обеспечение и иные выплаты населению)</t>
  </si>
  <si>
    <t>13 1 01 01000</t>
  </si>
  <si>
    <t>Проведение мероприятий  по профилактике правонарушений (Закупка товаров, работ и услуг для обеспечения государственных (муниципальных) нужд)</t>
  </si>
  <si>
    <t>13 1 02 02000</t>
  </si>
  <si>
    <t>14 1 01 10010</t>
  </si>
  <si>
    <t>16 1 01 06690</t>
  </si>
  <si>
    <t>Проведение экспертизы ПСД на строительство ФАП  (Закупка товаров, работ и услуг для обеспечения государственных (муниципальных) нужд)</t>
  </si>
  <si>
    <t>16 2 01 40030</t>
  </si>
  <si>
    <t>Улучшение условий и охраны труда в учреждениях и предприятиях Приволжского муниципального района (Закупка товаров, работ и услуг для обеспечения государственных (муниципальных) нужд)</t>
  </si>
  <si>
    <t>18 1 02 41200</t>
  </si>
  <si>
    <t>40 9 00 70100</t>
  </si>
  <si>
    <t>40 9 00 80350</t>
  </si>
  <si>
    <t>41 9 00 90160</t>
  </si>
  <si>
    <t>Подготовка населения и организаций к действиям в чрезвычайной ситуации в мирное и военное время (Закупка товаров, работ и услуг для обеспечения государственных (муниципальных) нужд)</t>
  </si>
  <si>
    <t>0309</t>
  </si>
  <si>
    <t>05 1 01 90010</t>
  </si>
  <si>
    <t>0405</t>
  </si>
  <si>
    <t>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</si>
  <si>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06 2 01 80370</t>
  </si>
  <si>
    <t>Проведение мероприятий на территории Приволжского муниципального района  (Закупка товаров, работ и услуг для обеспечения государственных (муниципальных) нужд)</t>
  </si>
  <si>
    <t>10 1 01 10010</t>
  </si>
  <si>
    <t>Расходы связанные с организацией безопасности, содержанием и эксплуатацией гидротехнических сооружений (Иные бюджетные ассигнования)</t>
  </si>
  <si>
    <t>0406</t>
  </si>
  <si>
    <t>05 2 01 90070</t>
  </si>
  <si>
    <t xml:space="preserve">06 2 02 S0540 </t>
  </si>
  <si>
    <t>Государственная экспертиза по определению достоверности сметной стоимости  работ по ремонту автомобильных дорог (Закупка товаров, работ и услуг для обеспечения государственных (муниципальных) нужд)</t>
  </si>
  <si>
    <t>0409</t>
  </si>
  <si>
    <t>15 1 02 22140</t>
  </si>
  <si>
    <t>Строительный контроль (Закупка товаров, работ и услуг для обеспечения государственных (муниципальных) нужд)</t>
  </si>
  <si>
    <t>15 1 02 23000</t>
  </si>
  <si>
    <t>Ремонт автомобильных дорог (Закупка товаров, работ и услуг для обеспечения государственных (муниципальных) нужд)</t>
  </si>
  <si>
    <t>15 1 02 23120</t>
  </si>
  <si>
    <t>15 1 02 S0510</t>
  </si>
  <si>
    <t>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 (Закупка товаров, работ и услуг для обеспечения государственных (муниципальных) нужд)</t>
  </si>
  <si>
    <t>15 1 01 00400</t>
  </si>
  <si>
    <t>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 (Межбюджетные трансферты)</t>
  </si>
  <si>
    <t>500</t>
  </si>
  <si>
    <t>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 (Закупка товаров, работ и услуг для обеспечения государственных (муниципальных) нужд)</t>
  </si>
  <si>
    <t>15 1 01 00450</t>
  </si>
  <si>
    <t>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 (Межбюджетные трансферты)</t>
  </si>
  <si>
    <t>0412</t>
  </si>
  <si>
    <t>40 9 00 01400</t>
  </si>
  <si>
    <t>Финансовое обеспечение на организацию обеспечения проживающих в поселениях и нуждающихся в жилых помещениях малоимущих граждан жилыми помещениями, организацию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 (Закупка товаров, работ и услуг для обеспечения государственных (муниципальных) нужд)</t>
  </si>
  <si>
    <t>0501</t>
  </si>
  <si>
    <t xml:space="preserve">08 1 04 00410 </t>
  </si>
  <si>
    <t>0502</t>
  </si>
  <si>
    <t>08 1 01 28040</t>
  </si>
  <si>
    <t>Финансовое обеспечение на организацию в границах поселений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РФ, в части нецентрализованных источников водоснабжения (содержание колодцев) (Закупка товаров, работ и услуг для обеспечения государственных (муниципальных) нужд)</t>
  </si>
  <si>
    <t>08 1 03 00440</t>
  </si>
  <si>
    <t>Финансовое обеспечение на организацию в границах поселений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РФ, в части нецентрализованных источников водоснабжения (содержание колодцев) (Межбюджетные трансферты)</t>
  </si>
  <si>
    <t>Финансовое обеспечение на организацию в границах поселений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РФ, в части централизованных источников водоснабжения (Межбюджетные трансферты)</t>
  </si>
  <si>
    <t>08 1 03 00470</t>
  </si>
  <si>
    <t>Субсидия на реализацию мер по обеспечению экологической безопасности использования, обезвреживания и размещения отходов от объектов жилищного фонда, предприятий и организаций Приволжского муниципального района (Иные бюджетные ассигнования)</t>
  </si>
  <si>
    <t>0503</t>
  </si>
  <si>
    <t>06 1 01 60010</t>
  </si>
  <si>
    <t>Финансовое обеспечение на  организацию ритуальных услуг и содержание мест захоронения. (Закупка товаров, работ и услуг для обеспечения государственных (муниципальных) нужд)</t>
  </si>
  <si>
    <t xml:space="preserve">06 3 01 00430 </t>
  </si>
  <si>
    <t>Субсидия на транспортировку умерших в морг (Иные бюджетные ассигнования)</t>
  </si>
  <si>
    <t>06 3 01 60020</t>
  </si>
  <si>
    <t>Выполнение наказов избирателей (Закупка товаров, работ и услуг для обеспечения государственных (муниципальных) нужд)</t>
  </si>
  <si>
    <t>53 9 00 01990</t>
  </si>
  <si>
    <t>Расходы на обеспечение деятельности (оказание услуг) муниципальных учреждений дополнительного образования (Предоставление субсидий бюджетным, автономным учреждениям и иным некоммерческим организациям)</t>
  </si>
  <si>
    <t>02 1 01 03590</t>
  </si>
  <si>
    <t>02 1 01 81430</t>
  </si>
  <si>
    <t>Доплата к пенсиям муниципальным служащим (Социальное обеспечение и иные выплаты населению)</t>
  </si>
  <si>
    <t>1001</t>
  </si>
  <si>
    <t>11 1 02 70200</t>
  </si>
  <si>
    <t>1003</t>
  </si>
  <si>
    <t>12 1 01 L4970</t>
  </si>
  <si>
    <t>Предоставление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(в том числе рефинансированному). Софинансирование районного бюджета (Социальное обеспечение и иные выплаты населению)</t>
  </si>
  <si>
    <t>12 2 01 70020</t>
  </si>
  <si>
    <t>Мероприятия в области социальной политики. Расходы на оказание финансовой помощи некоммерческим организациям (Предоставление субсидий бюджетным, автономным учреждениям и иным некоммерческим организациям)</t>
  </si>
  <si>
    <t>51 9 00 70030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</si>
  <si>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недвижимого имущества государственной (муниципальной) собственности)</t>
  </si>
  <si>
    <t>400</t>
  </si>
  <si>
    <t>Расходы на проведение мероприятий в области массового спорта  (Закупка товаров, работ и услуг для обеспечения государственных (муниципальных) нужд)</t>
  </si>
  <si>
    <t>1102</t>
  </si>
  <si>
    <t>17 1 01 00120</t>
  </si>
  <si>
    <t>ИТОГО</t>
  </si>
  <si>
    <t>Обеспечение функционирования представительного органа муниципального образования (Иные бюджетные ассигнования)</t>
  </si>
  <si>
    <t>Материальное вознаграждение гражданам, награжденным Почетной грамотой (Социальное обеспечение и иные выплаты населению)</t>
  </si>
  <si>
    <t>Обеспечение прочих обязательств администрации (Закупка товаров, работ и услуг для обеспечения государственных (муниципальных) нужд)</t>
  </si>
  <si>
    <t>40 9 00 01900</t>
  </si>
  <si>
    <t>03 1 Е1 51690</t>
  </si>
  <si>
    <t>03 1 Е2 50970</t>
  </si>
  <si>
    <t>03 1 Е4 52100</t>
  </si>
  <si>
    <t xml:space="preserve">Создание в общеобразовательных организациях, расположенных в сельской местности и малых городах, условий для занятий физической культурой и спортом (Закупка товаров, работ и услуг для обеспечения государственных (муниципальных) нужд) </t>
  </si>
  <si>
    <t>Обеспечение образовательных организаций материально-технической базой для внедрения цифровой образовательной среды (Закупка товаров, работ и услуг для обеспечения государственных (муниципальных) нужд)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</si>
  <si>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(Закупка товаров, работ и услуг для обеспечения государственных (муниципальных) нужд)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</si>
  <si>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</si>
  <si>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(Закупка товаров, работ и услуг для обеспечения государственных (муниципальных) нужд)</t>
  </si>
  <si>
    <t>Осуществление полномочий по созданию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</si>
  <si>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 1 E2 54910</t>
  </si>
  <si>
    <t>06 1 01 26210</t>
  </si>
  <si>
    <t>Ликвидация несанкционированных свалок (Закупка товаров, работ и услуг для обеспечения государственных (муниципальных) нужд)</t>
  </si>
  <si>
    <t>Текущее содержание инженерной защиты (дамбы, дренажные системы, водоперекачивающие станции) (Иные бюджетные ассигнования)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</si>
  <si>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</si>
  <si>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(Закупка товаров, работ и услуг для обеспечения государственных (муниципальных)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</si>
  <si>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 (Закупка товаров, работ и услуг для обеспечения государственных (муниципальных) нужд)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</si>
  <si>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(Закупка товаров, работ и услуг для обеспечения государственных (муниципальных) нужд)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</si>
  <si>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</si>
  <si>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Актуализация схемы теплоснабжения Приволжского муниципального района (Закупка товаров, работ и услуг для обеспечения государственных (муниципальных) нужд)</t>
  </si>
  <si>
    <t xml:space="preserve">Организация озеленения территорий общего пользования (Закупка товаров, работ и услуг для обеспечения государственных (муниципальных) нужд) </t>
  </si>
  <si>
    <t>06 3 02 26310</t>
  </si>
  <si>
    <t>Проведение мероприятий на территории Приволжского муниципального района (Закупка товаров, работ и услуг для обеспечения государственных (муниципальных) нужд)</t>
  </si>
  <si>
    <t>Организация регулярных перевозок по муниципальным маршрутам (Закупка товаров, работ и услуг для обеспечения государственных (муниципальных) нужд)</t>
  </si>
  <si>
    <t>2024 год</t>
  </si>
  <si>
    <t>Ведомственная структура расходов бюджета Приволжского муниципального района на 2022 год и на плановый период 2023 и 2024 годов</t>
  </si>
  <si>
    <t>36 1 01 03010</t>
  </si>
  <si>
    <t>38 1 01 20980</t>
  </si>
  <si>
    <t>Выполнение мероприятий "Комплексного плана противодействия идеологии терроризма в Российской Федерации на 2019-2023 годы" на территории Приволжского муниципального района (Закупка товаров, работ и услуг для обеспечения государственных (муниципальных) нужд)</t>
  </si>
  <si>
    <t>Землеустроительные работы (Закупка товаров, работ и услуг для обеспечения государственных (муниципальных) нужд)</t>
  </si>
  <si>
    <t>38 2 01 21980</t>
  </si>
  <si>
    <t>38 2 02 20960</t>
  </si>
  <si>
    <t>Землеустроительные работы по описанию границ территориальных зон в границах поселений (Закупка товаров, работ и услуг для обеспечения государственных (муниципальных) нужд)</t>
  </si>
  <si>
    <t>Разработка проектов планировки и межевания территорий (Закупка товаров, работ и услуг для обеспечения государственных (муниципальных) нужд)</t>
  </si>
  <si>
    <t>Организация мероприятий по поддержке одаренных детей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</si>
  <si>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37 1 01 24000</t>
  </si>
  <si>
    <t>02 1 01 S1430</t>
  </si>
  <si>
    <t>Укрепление материально-технической базы муниципальных образовательных организаций Ивановской области (Закупка товаров, работ и услуг для государственных (муниципальных) нужд)</t>
  </si>
  <si>
    <t>03 1 01 S1950</t>
  </si>
  <si>
    <t>03 1 01 88400</t>
  </si>
  <si>
    <t>Благоустройство территорий муниципальных дошкольных образовательных организаций Ивановской области (Закупка товаров, работ и услуг для обеспечения государственных (муниципальных) нужд)</t>
  </si>
  <si>
    <t>Финансовое обеспечение на организацию в границах поселений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РФ, в части централизованных источников водоснабжения (Закупка товаров, работ и услуг для обеспечения государственных (муниципальных) нужд)</t>
  </si>
  <si>
    <t>Расходы за счет средств от оказания платных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</si>
  <si>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03 1 01 01110</t>
  </si>
  <si>
    <t>Расходы за счет средств от оказания платных услуг (Закупка товаров, работ и услуг для обеспечения государственных (муниципальных) нужд)</t>
  </si>
  <si>
    <t>Расходы за счет средств от оказания платных услуг (Иные бюджетные ассигнования)</t>
  </si>
  <si>
    <t>03 1 02 01111</t>
  </si>
  <si>
    <t>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 (Предоставление субсидий бюджетным, автономным учреждениям и иным некоммерческим организациям)</t>
  </si>
  <si>
    <t>Укрепление материально-технической базы муниципальных образовательных учреждений Ивановской области (Закупка товаров, работ и услуг для государственных (муниципальных) нужд)</t>
  </si>
  <si>
    <t>Осуществление отдельных государственных полномочий в сфере административных правонарушений (Закупка товаров, работ и услуг для обеспечения государственных (муниципальных) нужд)</t>
  </si>
  <si>
    <t xml:space="preserve">Приложение № 5
 к решению Совета Приволжского 
муниципального района от 22.12.2021 № 77                                                         
  «О бюджете Приволжского муниципального района  
на 2022 год и плановый период 2023 и 2024 годов»  
</t>
  </si>
  <si>
    <t>Обеспечение прочих обязательств администрации (Иные бюджетные ассигнования)</t>
  </si>
  <si>
    <t>Расходы связанные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(Предоставление субсидий бюджетным, автономным учреждениям и иным некоммерческим организациям)</t>
  </si>
  <si>
    <t>Расходы на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 (Предоставление субсидий бюджетным, автономным учреждениям и иным некоммерческим организациям)</t>
  </si>
  <si>
    <t>Предоставление социальных выплат молодым семьям на приобретение (строительство) жилого помещения (Социальное обеспечение и иные выплаты населению)</t>
  </si>
  <si>
    <t>49 9 00 R0820</t>
  </si>
  <si>
    <t>Проектирование строительства (реконструкции), капитального ремонта,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(Закупка товаров, работ и услуг для обеспечения государственных (муниципальных) нужд)</t>
  </si>
  <si>
    <t>Средства на оплату членских взносов Совета муниципальных образований (Иные бюджетные ассигнования)</t>
  </si>
  <si>
    <t>16 2 02 26000</t>
  </si>
  <si>
    <t>Мероприятия в области коммунальной инфраструктуры (Закупка товаров, работ и услуг для обеспечения государственных (муниципальных) нужд)</t>
  </si>
  <si>
    <t>Финансовое обеспечение на  организацию ритуальных услуг и содержание мест захоронения (Межбюджетные трансферты)</t>
  </si>
  <si>
    <t>Выполнение наказов избирателей  (Межбюджетные трансферты)</t>
  </si>
  <si>
    <t>Проведение кадастровых работ в отношении неиспользуемых земель из состава земель сельскохозяйственного назначения (Закупка товаров, работ и услуг для обеспечения государственных (муниципальных) нужд)</t>
  </si>
  <si>
    <t>Подготовка проектов внесения изменений в документы территориального планирования, правила землепользования и застройки (Закупка товаров, работ и услуг для обеспечения государственных (муниципальных) нужд)</t>
  </si>
  <si>
    <t>38 1 01 S3020</t>
  </si>
  <si>
    <t>04 2 01 S7000</t>
  </si>
  <si>
    <t>Расходы по организации отдыха детей в каникулярное время в части организации двухразового питания в лагерях дневного пребывания  (Закупка товаров, работ и услуг для обеспечения государственных (муниципальных) нужд)</t>
  </si>
  <si>
    <t>03 1 02 S6900</t>
  </si>
  <si>
    <t>Осуществление дополнительных мероприятий по профилактике и противодействию распространения новой коронавирусной инфекции (COVID-19) в муниципальных общеобразовательных организациях Ивановской области (Закупка товаров, работ и услуг для государственных (муниципальных) нужд)</t>
  </si>
  <si>
    <t>15 1 03 S6600</t>
  </si>
  <si>
    <t>Обеспечение инженерной и транспортной инфраструктурой земельных участков, предназначенных для бесплатного предоставления (предоставленных) семьям с тремя и более детьми, в том числе на разработку проектной документации (Закупка товаров, работ и услуг для обеспечения государственных (муниципальных) нужд)</t>
  </si>
  <si>
    <t>19 2 01 S6600</t>
  </si>
  <si>
    <t xml:space="preserve">0702 </t>
  </si>
  <si>
    <t>19 3 01 60050</t>
  </si>
  <si>
    <t>Субсидия на подготовку объектов к отопительному сезону (Иные бюджетные ассигнования)</t>
  </si>
  <si>
    <t>Расходы на проведение мероприятий для детей и молодежи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</si>
  <si>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Расходы, связанные с поэтапным доведением средней заработной платы педагогическим работникам иных муниципальных организаций дополнительного образования детей  до средней заработной платы учителей в Ивановской области (Предоставление субсидий бюджетным, автономным учреждениям и иным некоммерческим организациям)</t>
  </si>
  <si>
    <t>Расходы, связанные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 (Предоставление субсидий бюджетным, автономным учреждениям и иным некоммерческим организациям)</t>
  </si>
  <si>
    <t>Расходы на  поэтапное доведение средней заработной платы педагогическим работникам иных муниципальных организаций дополнительного образования детей  до средней заработной платы учителей в Ивановской области (Предоставление субсидий бюджетным, автономным учреждениям и иным некоммерческим организациям)</t>
  </si>
  <si>
    <t>Расходы  на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 (Предоставление субсидий бюджетным, автономным учреждениям и иным некоммерческим организациям)</t>
  </si>
  <si>
    <t>Организация мероприятий по пожарной и антитеррористической безопасности (Предоставление субсидий бюджетным, автономным учреждениям и иным некоммерческим организациям)</t>
  </si>
  <si>
    <t>Охрана труда (Предоставление субсидий бюджетным, автономным учреждениям и иным некоммерческим организациям)</t>
  </si>
  <si>
    <t>Расходы на реализацию спортивной подготовки в учреждениях дополнительного образования (Предоставление субсидий бюджетным, автономным учреждениям и иным некоммерческим организациям)</t>
  </si>
  <si>
    <t>Иные выплаты населению (Социальное обеспечение и иные выплаты населению)</t>
  </si>
  <si>
    <t>01 2 01 70040</t>
  </si>
  <si>
    <t>Разработка проектно-сметной документации по ремонту автомобильных дорог (Закупка товаров, работ и услуг для обеспечения государственных (муниципальных) нужд)</t>
  </si>
  <si>
    <t>15 1 02 23030</t>
  </si>
  <si>
    <t>03 1 03 03580</t>
  </si>
  <si>
    <t>Обеспечение функционирования модели персонифицированного финансирования дополнительного образования детей (Предоставление субсидий бюджетным, автономным учреждениям и иным некоммерческим организациям)</t>
  </si>
  <si>
    <t>Обеспечение функционирования модели персонифицированного финансирования дополнительного образования детей (Иные бюджетные ассигнования)</t>
  </si>
  <si>
    <t>15 1 02 S8600</t>
  </si>
  <si>
    <t>Финансовое обеспечение дорожной деятельности на автомобильных дорогах общего пользования местного значения (Закупка товаров, работ и услуг для обеспечения государственных (муниципальных) нужд)</t>
  </si>
  <si>
    <t>Проведение ремонтных работ (Закупка товаров, работ и услуг для обеспечения государственных (муниципальных) нужд)</t>
  </si>
  <si>
    <t>01 2 01 08591</t>
  </si>
  <si>
    <t>40 9 00 55490</t>
  </si>
  <si>
    <t>Достижение показателей деятельности органов исполнительной власти субъектов Российской Федерации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</si>
  <si>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мероприятий по капитальному ремонту объектов образования (Закупка товаров, работ и услуг для государственных (муниципальных) нужд)</t>
  </si>
  <si>
    <t>03 1 01 S3500</t>
  </si>
  <si>
    <t>03 1 01 S8900</t>
  </si>
  <si>
    <t>03 1 02 S8800</t>
  </si>
  <si>
    <t>Разработка (корректировка) проектной документации на капитальный ремонт объектов общего образования (Закупка товаров, работ и услуг для обеспечения государственных (муниципальных) нужд)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</si>
  <si>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 (Предоставление субсидий бюджетным, автономным учреждениям и иным некоммерческим организациям)</t>
  </si>
  <si>
    <t>Обеспечение инженерной и транспортной инфраструктурой земельных участков, предназначенных для бесплатного предоставления (предоставленных) семьям с тремя и более детьми, в том числе на разработку проектной документации (Капитальные вложения в объекты недвижимого имущества государственной (муниципальной) собственности)</t>
  </si>
  <si>
    <t>Охрана труда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</si>
  <si>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Капитальный ремонт объектов дошкольного образования в рамках реализации социально значимого проекта "Создание безопасных условий пребывания в дошкольных образовательных организациях, дошкольных группах в муниципальных общеобразовательных организациях" (Закупка товаров, работ и услуг для государственных (муниципальных) нужд)</t>
  </si>
  <si>
    <t>0310289700</t>
  </si>
  <si>
    <t>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обучающимся, получающим основное общее и среднее общее образование в муниципальных образовательных организациях, из числа детей граждан, принимающих участие (принимавших участие, в том числе погибших (умерших)) в специальной военной операции, проводимой с 24 февраля 2022 года, из числа военнослужащих и сотрудников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граждан Российской Федерации, заключивших контракт о добровольном содействии в выполнении задач, возложенных на Вооруженные Силы Российской Федерации, сотрудников уголовно-исполнительной системы Российской Федерации, выполняющих (выполнявших) возложенные на них задачи в период проведения специальной военной операции, а также граждан, призванных на военную службу по мобилизации в Вооруженные Силы Российской Федерации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</si>
  <si>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</si>
  <si>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(в редакции решения Совета от 22.12.2022 № 91)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</si>
</sst>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4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al Cyr"/>
    </font>
    <font>
      <sz val="11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4"/>
      <color theme="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indexed="3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5" fillId="0" borderId="0"/>
    <xf numFmtId="0" fontId="6" fillId="0" borderId="0">
      <alignment horizontal="left" wrapText="1"/>
    </xf>
  </cellStyleXfs>
  <cellXfs count="70">
    <xf numFmtId="0" fontId="0" fillId="0" borderId="0" xfId="0"/>
    <xf numFmtId="0" fontId="1" fillId="0" borderId="0" xfId="0" applyFont="1" applyAlignment="1">
      <alignment horizontal="justify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Border="1"/>
    <xf numFmtId="0" fontId="7" fillId="0" borderId="0" xfId="0" applyFont="1"/>
    <xf numFmtId="0" fontId="8" fillId="2" borderId="5" xfId="0" applyFont="1" applyFill="1" applyBorder="1" applyAlignment="1">
      <alignment horizontal="justify" vertical="top" wrapText="1"/>
    </xf>
    <xf numFmtId="4" fontId="10" fillId="0" borderId="0" xfId="0" applyNumberFormat="1" applyFont="1"/>
    <xf numFmtId="4" fontId="9" fillId="0" borderId="0" xfId="0" applyNumberFormat="1" applyFont="1"/>
    <xf numFmtId="4" fontId="0" fillId="0" borderId="0" xfId="0" applyNumberFormat="1"/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3" borderId="5" xfId="0" applyNumberFormat="1" applyFont="1" applyFill="1" applyBorder="1" applyAlignment="1">
      <alignment horizontal="right"/>
    </xf>
    <xf numFmtId="4" fontId="8" fillId="2" borderId="5" xfId="0" applyNumberFormat="1" applyFont="1" applyFill="1" applyBorder="1" applyAlignment="1">
      <alignment horizontal="right"/>
    </xf>
    <xf numFmtId="49" fontId="2" fillId="0" borderId="6" xfId="0" applyNumberFormat="1" applyFont="1" applyBorder="1" applyAlignment="1">
      <alignment horizontal="right"/>
    </xf>
    <xf numFmtId="4" fontId="2" fillId="0" borderId="5" xfId="0" applyNumberFormat="1" applyFont="1" applyFill="1" applyBorder="1" applyAlignment="1">
      <alignment horizontal="right"/>
    </xf>
    <xf numFmtId="49" fontId="2" fillId="0" borderId="6" xfId="0" applyNumberFormat="1" applyFont="1" applyFill="1" applyBorder="1" applyAlignment="1">
      <alignment horizontal="right"/>
    </xf>
    <xf numFmtId="4" fontId="2" fillId="4" borderId="6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right"/>
    </xf>
    <xf numFmtId="49" fontId="2" fillId="0" borderId="5" xfId="0" applyNumberFormat="1" applyFont="1" applyBorder="1" applyAlignment="1">
      <alignment horizontal="right"/>
    </xf>
    <xf numFmtId="49" fontId="2" fillId="0" borderId="3" xfId="0" applyNumberFormat="1" applyFont="1" applyBorder="1" applyAlignment="1">
      <alignment horizontal="right"/>
    </xf>
    <xf numFmtId="49" fontId="2" fillId="0" borderId="3" xfId="0" applyNumberFormat="1" applyFont="1" applyFill="1" applyBorder="1" applyAlignment="1">
      <alignment horizontal="right"/>
    </xf>
    <xf numFmtId="4" fontId="2" fillId="0" borderId="3" xfId="0" applyNumberFormat="1" applyFont="1" applyFill="1" applyBorder="1" applyAlignment="1">
      <alignment horizontal="right"/>
    </xf>
    <xf numFmtId="49" fontId="8" fillId="2" borderId="5" xfId="0" applyNumberFormat="1" applyFont="1" applyFill="1" applyBorder="1" applyAlignment="1">
      <alignment horizontal="right"/>
    </xf>
    <xf numFmtId="49" fontId="12" fillId="0" borderId="6" xfId="0" applyNumberFormat="1" applyFont="1" applyFill="1" applyBorder="1" applyAlignment="1">
      <alignment horizontal="right"/>
    </xf>
    <xf numFmtId="4" fontId="12" fillId="4" borderId="6" xfId="0" applyNumberFormat="1" applyFont="1" applyFill="1" applyBorder="1" applyAlignment="1">
      <alignment horizontal="right"/>
    </xf>
    <xf numFmtId="49" fontId="12" fillId="0" borderId="5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0" fontId="2" fillId="0" borderId="5" xfId="0" applyFont="1" applyFill="1" applyBorder="1" applyAlignment="1">
      <alignment horizontal="right"/>
    </xf>
    <xf numFmtId="49" fontId="8" fillId="3" borderId="5" xfId="0" applyNumberFormat="1" applyFont="1" applyFill="1" applyBorder="1" applyAlignment="1">
      <alignment horizontal="right" wrapText="1"/>
    </xf>
    <xf numFmtId="4" fontId="8" fillId="2" borderId="5" xfId="0" applyNumberFormat="1" applyFont="1" applyFill="1" applyBorder="1" applyAlignment="1">
      <alignment horizontal="right" wrapText="1"/>
    </xf>
    <xf numFmtId="0" fontId="2" fillId="0" borderId="6" xfId="0" applyFont="1" applyFill="1" applyBorder="1" applyAlignment="1">
      <alignment horizontal="right"/>
    </xf>
    <xf numFmtId="4" fontId="2" fillId="0" borderId="6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4" fontId="2" fillId="0" borderId="5" xfId="0" applyNumberFormat="1" applyFont="1" applyFill="1" applyBorder="1" applyAlignment="1">
      <alignment horizontal="right" wrapText="1"/>
    </xf>
    <xf numFmtId="49" fontId="2" fillId="0" borderId="5" xfId="0" applyNumberFormat="1" applyFont="1" applyFill="1" applyBorder="1" applyAlignment="1">
      <alignment horizontal="right" wrapText="1"/>
    </xf>
    <xf numFmtId="49" fontId="2" fillId="0" borderId="6" xfId="0" applyNumberFormat="1" applyFont="1" applyFill="1" applyBorder="1" applyAlignment="1">
      <alignment horizontal="right" wrapText="1"/>
    </xf>
    <xf numFmtId="4" fontId="2" fillId="0" borderId="6" xfId="0" applyNumberFormat="1" applyFont="1" applyFill="1" applyBorder="1" applyAlignment="1">
      <alignment horizontal="right" wrapText="1"/>
    </xf>
    <xf numFmtId="49" fontId="2" fillId="0" borderId="8" xfId="0" applyNumberFormat="1" applyFont="1" applyFill="1" applyBorder="1" applyAlignment="1">
      <alignment horizontal="right" wrapText="1"/>
    </xf>
    <xf numFmtId="4" fontId="2" fillId="0" borderId="8" xfId="0" applyNumberFormat="1" applyFont="1" applyFill="1" applyBorder="1" applyAlignment="1">
      <alignment horizontal="right" wrapText="1"/>
    </xf>
    <xf numFmtId="49" fontId="2" fillId="0" borderId="8" xfId="0" applyNumberFormat="1" applyFont="1" applyFill="1" applyBorder="1" applyAlignment="1">
      <alignment horizontal="right"/>
    </xf>
    <xf numFmtId="4" fontId="12" fillId="0" borderId="6" xfId="0" applyNumberFormat="1" applyFont="1" applyFill="1" applyBorder="1" applyAlignment="1">
      <alignment horizontal="right"/>
    </xf>
    <xf numFmtId="0" fontId="8" fillId="2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5" xfId="1" applyFont="1" applyFill="1" applyBorder="1" applyAlignment="1">
      <alignment horizontal="left" vertical="center" wrapText="1"/>
    </xf>
    <xf numFmtId="0" fontId="2" fillId="0" borderId="6" xfId="1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5" xfId="1" applyFont="1" applyBorder="1" applyAlignment="1">
      <alignment horizontal="left" vertical="center" wrapText="1"/>
    </xf>
    <xf numFmtId="0" fontId="2" fillId="0" borderId="3" xfId="1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6" xfId="0" applyFont="1" applyFill="1" applyBorder="1" applyAlignment="1">
      <alignment horizontal="justify" vertical="top" wrapText="1"/>
    </xf>
    <xf numFmtId="0" fontId="2" fillId="0" borderId="7" xfId="0" applyFont="1" applyFill="1" applyBorder="1" applyAlignment="1">
      <alignment horizontal="justify" vertical="top"/>
    </xf>
    <xf numFmtId="0" fontId="2" fillId="0" borderId="5" xfId="0" applyFont="1" applyFill="1" applyBorder="1" applyAlignment="1">
      <alignment horizontal="right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3" fillId="0" borderId="0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11" fillId="0" borderId="2" xfId="0" applyFont="1" applyBorder="1" applyAlignment="1">
      <alignment horizontal="right" wrapText="1"/>
    </xf>
    <xf numFmtId="0" fontId="13" fillId="0" borderId="0" xfId="0" applyFont="1" applyBorder="1" applyAlignment="1">
      <alignment horizontal="center" wrapText="1"/>
    </xf>
  </cellXfs>
  <cellStyles count="4">
    <cellStyle name="xl30" xfId="3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2"/>
  <sheetViews>
    <sheetView tabSelected="1" topLeftCell="A181" zoomScale="80" zoomScaleNormal="80" workbookViewId="0">
      <selection activeCell="F187" sqref="F187"/>
    </sheetView>
  </sheetViews>
  <sheetFormatPr defaultColWidth="91" defaultRowHeight="15" x14ac:dyDescent="0.25"/>
  <cols>
    <col min="1" max="1" width="91.28515625" customWidth="1"/>
    <col min="2" max="2" width="11.85546875" customWidth="1"/>
    <col min="3" max="3" width="15" customWidth="1"/>
    <col min="4" max="4" width="17.28515625" customWidth="1"/>
    <col min="5" max="5" width="12.85546875" customWidth="1"/>
    <col min="6" max="6" width="19.42578125" customWidth="1"/>
    <col min="7" max="7" width="20.28515625" customWidth="1"/>
    <col min="8" max="8" width="20.42578125" customWidth="1"/>
    <col min="9" max="9" width="22.5703125" customWidth="1"/>
    <col min="10" max="10" width="18.7109375" customWidth="1"/>
    <col min="11" max="11" width="19.42578125" customWidth="1"/>
  </cols>
  <sheetData>
    <row r="1" spans="1:14" ht="92.25" customHeight="1" x14ac:dyDescent="0.25">
      <c r="A1" s="1"/>
      <c r="B1" s="2"/>
      <c r="C1" s="2"/>
      <c r="D1" s="3"/>
      <c r="E1" s="2"/>
      <c r="F1" s="64" t="s">
        <v>266</v>
      </c>
      <c r="G1" s="65"/>
      <c r="H1" s="65"/>
    </row>
    <row r="2" spans="1:14" ht="36" customHeight="1" x14ac:dyDescent="0.3">
      <c r="A2" s="66" t="s">
        <v>241</v>
      </c>
      <c r="B2" s="67"/>
      <c r="C2" s="67"/>
      <c r="D2" s="67"/>
      <c r="E2" s="67"/>
      <c r="F2" s="67"/>
      <c r="G2" s="67"/>
      <c r="H2" s="67"/>
    </row>
    <row r="3" spans="1:14" ht="26.25" customHeight="1" x14ac:dyDescent="0.25">
      <c r="A3" s="69" t="s">
        <v>324</v>
      </c>
      <c r="B3" s="69"/>
      <c r="C3" s="69"/>
      <c r="D3" s="69"/>
      <c r="E3" s="69"/>
      <c r="F3" s="69"/>
      <c r="G3" s="69"/>
      <c r="H3" s="69"/>
    </row>
    <row r="4" spans="1:14" ht="25.5" customHeight="1" x14ac:dyDescent="0.25">
      <c r="A4" s="4"/>
      <c r="B4" s="5"/>
      <c r="C4" s="5"/>
      <c r="D4" s="5"/>
      <c r="E4" s="5"/>
      <c r="F4" s="5"/>
      <c r="G4" s="68" t="s">
        <v>0</v>
      </c>
      <c r="H4" s="68"/>
      <c r="I4" s="6"/>
    </row>
    <row r="5" spans="1:14" ht="31.5" x14ac:dyDescent="0.25">
      <c r="A5" s="12" t="s">
        <v>1</v>
      </c>
      <c r="B5" s="12" t="s">
        <v>2</v>
      </c>
      <c r="C5" s="12" t="s">
        <v>3</v>
      </c>
      <c r="D5" s="12" t="s">
        <v>4</v>
      </c>
      <c r="E5" s="12" t="s">
        <v>5</v>
      </c>
      <c r="F5" s="13" t="s">
        <v>6</v>
      </c>
      <c r="G5" s="14" t="s">
        <v>7</v>
      </c>
      <c r="H5" s="14" t="s">
        <v>240</v>
      </c>
    </row>
    <row r="6" spans="1:14" ht="31.5" x14ac:dyDescent="0.25">
      <c r="A6" s="45" t="s">
        <v>8</v>
      </c>
      <c r="B6" s="15" t="s">
        <v>9</v>
      </c>
      <c r="C6" s="15"/>
      <c r="D6" s="15"/>
      <c r="E6" s="15"/>
      <c r="F6" s="16">
        <f>SUM(F7:F91)</f>
        <v>369868703.61999995</v>
      </c>
      <c r="G6" s="16">
        <f t="shared" ref="G6:H6" si="0">SUM(G8:G91)</f>
        <v>279703567.88</v>
      </c>
      <c r="H6" s="16">
        <f t="shared" si="0"/>
        <v>261154607.25</v>
      </c>
      <c r="L6" s="11"/>
      <c r="M6" s="11"/>
      <c r="N6" s="11"/>
    </row>
    <row r="7" spans="1:14" ht="31.5" x14ac:dyDescent="0.25">
      <c r="A7" s="46" t="s">
        <v>308</v>
      </c>
      <c r="B7" s="19" t="s">
        <v>9</v>
      </c>
      <c r="C7" s="19" t="s">
        <v>11</v>
      </c>
      <c r="D7" s="19" t="s">
        <v>309</v>
      </c>
      <c r="E7" s="19" t="s">
        <v>15</v>
      </c>
      <c r="F7" s="18">
        <v>143900</v>
      </c>
      <c r="G7" s="18">
        <v>0</v>
      </c>
      <c r="H7" s="18">
        <v>0</v>
      </c>
    </row>
    <row r="8" spans="1:14" ht="63" x14ac:dyDescent="0.25">
      <c r="A8" s="46" t="s">
        <v>258</v>
      </c>
      <c r="B8" s="19" t="s">
        <v>9</v>
      </c>
      <c r="C8" s="19" t="s">
        <v>11</v>
      </c>
      <c r="D8" s="19" t="s">
        <v>259</v>
      </c>
      <c r="E8" s="19" t="s">
        <v>13</v>
      </c>
      <c r="F8" s="18">
        <f>1259382+146018+380333.88+5277-84140-33545-25410.32</f>
        <v>1647915.5599999998</v>
      </c>
      <c r="G8" s="18">
        <f>1259382+153118+380333.4</f>
        <v>1792833.4</v>
      </c>
      <c r="H8" s="18">
        <f>1259242+161618+380333.4</f>
        <v>1801193.4</v>
      </c>
    </row>
    <row r="9" spans="1:14" ht="31.5" x14ac:dyDescent="0.25">
      <c r="A9" s="46" t="s">
        <v>260</v>
      </c>
      <c r="B9" s="19" t="s">
        <v>9</v>
      </c>
      <c r="C9" s="19" t="s">
        <v>11</v>
      </c>
      <c r="D9" s="19" t="s">
        <v>259</v>
      </c>
      <c r="E9" s="19" t="s">
        <v>15</v>
      </c>
      <c r="F9" s="18">
        <f>15550456.12+130000+734857.52-5277+7335-647994.51</f>
        <v>15769377.129999999</v>
      </c>
      <c r="G9" s="18">
        <f>15546931.6+130000</f>
        <v>15676931.6</v>
      </c>
      <c r="H9" s="18">
        <f>15561171.6+130000</f>
        <v>15691171.6</v>
      </c>
    </row>
    <row r="10" spans="1:14" ht="15.75" x14ac:dyDescent="0.25">
      <c r="A10" s="46" t="s">
        <v>261</v>
      </c>
      <c r="B10" s="19" t="s">
        <v>9</v>
      </c>
      <c r="C10" s="19" t="s">
        <v>11</v>
      </c>
      <c r="D10" s="19" t="s">
        <v>259</v>
      </c>
      <c r="E10" s="19" t="s">
        <v>17</v>
      </c>
      <c r="F10" s="18">
        <f>135300-83272.5</f>
        <v>52027.5</v>
      </c>
      <c r="G10" s="18">
        <f>135100</f>
        <v>135100</v>
      </c>
      <c r="H10" s="18">
        <f>135100</f>
        <v>135100</v>
      </c>
    </row>
    <row r="11" spans="1:14" ht="63" x14ac:dyDescent="0.25">
      <c r="A11" s="46" t="s">
        <v>10</v>
      </c>
      <c r="B11" s="19" t="s">
        <v>9</v>
      </c>
      <c r="C11" s="19" t="s">
        <v>11</v>
      </c>
      <c r="D11" s="19" t="s">
        <v>12</v>
      </c>
      <c r="E11" s="19" t="s">
        <v>13</v>
      </c>
      <c r="F11" s="18">
        <f>24762988.7+94952+7264106.48-47300+1207985.8+364811.68+33081.28+9990.54-11075-7997-330089.19-264244.05-10007</f>
        <v>33067204.240000002</v>
      </c>
      <c r="G11" s="18">
        <f>23641830.26+91352+7129121.79</f>
        <v>30862304.050000001</v>
      </c>
      <c r="H11" s="18">
        <f>23641270.26+99812+7129121.79</f>
        <v>30870204.050000001</v>
      </c>
    </row>
    <row r="12" spans="1:14" ht="47.25" x14ac:dyDescent="0.25">
      <c r="A12" s="46" t="s">
        <v>14</v>
      </c>
      <c r="B12" s="19" t="s">
        <v>9</v>
      </c>
      <c r="C12" s="19" t="s">
        <v>11</v>
      </c>
      <c r="D12" s="19" t="s">
        <v>12</v>
      </c>
      <c r="E12" s="19" t="s">
        <v>15</v>
      </c>
      <c r="F12" s="18">
        <f>16543319.52+14953835.73+6595161.46+35000-5827.84-8281.69-783475.16+789.48+1010526.31+250000-1110455.52+2440721.15+88000-7350+28800+197175+805057.2+84614.4-6400-13200-1169258.1-80604.02+109506.6+437155.81+102786.6+792049.86+11075-1431.15-16.94-345465.06+480025.93+180000-24097</f>
        <v>41589737.57</v>
      </c>
      <c r="G12" s="18">
        <f>5319784.08+16978205.85</f>
        <v>22297989.93</v>
      </c>
      <c r="H12" s="18">
        <f>9887479.51</f>
        <v>9887479.5099999998</v>
      </c>
    </row>
    <row r="13" spans="1:14" ht="31.5" x14ac:dyDescent="0.25">
      <c r="A13" s="46" t="s">
        <v>16</v>
      </c>
      <c r="B13" s="19" t="s">
        <v>9</v>
      </c>
      <c r="C13" s="19" t="s">
        <v>11</v>
      </c>
      <c r="D13" s="19" t="s">
        <v>12</v>
      </c>
      <c r="E13" s="19" t="s">
        <v>17</v>
      </c>
      <c r="F13" s="35">
        <f>339095+11000-10728-67638-136-4-4759.6-1303-4600</f>
        <v>260926.40000000002</v>
      </c>
      <c r="G13" s="20">
        <f>339795+11000</f>
        <v>350795</v>
      </c>
      <c r="H13" s="20">
        <f>340295+11000</f>
        <v>351295</v>
      </c>
    </row>
    <row r="14" spans="1:14" ht="126" x14ac:dyDescent="0.25">
      <c r="A14" s="46" t="s">
        <v>223</v>
      </c>
      <c r="B14" s="17" t="s">
        <v>9</v>
      </c>
      <c r="C14" s="17" t="s">
        <v>11</v>
      </c>
      <c r="D14" s="17" t="s">
        <v>18</v>
      </c>
      <c r="E14" s="17" t="s">
        <v>13</v>
      </c>
      <c r="F14" s="35">
        <f>58090603+682315.66+205960.34-777949.59-250216.41</f>
        <v>57950713</v>
      </c>
      <c r="G14" s="35">
        <v>57865776</v>
      </c>
      <c r="H14" s="35">
        <f>44443760.37+13422015.63</f>
        <v>57865776</v>
      </c>
    </row>
    <row r="15" spans="1:14" ht="94.5" x14ac:dyDescent="0.25">
      <c r="A15" s="46" t="s">
        <v>224</v>
      </c>
      <c r="B15" s="17" t="s">
        <v>9</v>
      </c>
      <c r="C15" s="17" t="s">
        <v>11</v>
      </c>
      <c r="D15" s="17" t="s">
        <v>18</v>
      </c>
      <c r="E15" s="17" t="s">
        <v>15</v>
      </c>
      <c r="F15" s="35">
        <v>391254</v>
      </c>
      <c r="G15" s="35">
        <v>494100</v>
      </c>
      <c r="H15" s="35">
        <v>494100</v>
      </c>
    </row>
    <row r="16" spans="1:14" ht="47.25" x14ac:dyDescent="0.25">
      <c r="A16" s="46" t="s">
        <v>256</v>
      </c>
      <c r="B16" s="17" t="s">
        <v>9</v>
      </c>
      <c r="C16" s="17" t="s">
        <v>11</v>
      </c>
      <c r="D16" s="17" t="s">
        <v>255</v>
      </c>
      <c r="E16" s="17" t="s">
        <v>15</v>
      </c>
      <c r="F16" s="35">
        <v>6331074.5800000001</v>
      </c>
      <c r="G16" s="35">
        <v>0</v>
      </c>
      <c r="H16" s="35">
        <v>0</v>
      </c>
    </row>
    <row r="17" spans="1:8" ht="47.25" x14ac:dyDescent="0.25">
      <c r="A17" s="47" t="s">
        <v>253</v>
      </c>
      <c r="B17" s="21" t="s">
        <v>9</v>
      </c>
      <c r="C17" s="21" t="s">
        <v>11</v>
      </c>
      <c r="D17" s="21" t="s">
        <v>254</v>
      </c>
      <c r="E17" s="21" t="s">
        <v>15</v>
      </c>
      <c r="F17" s="18">
        <f>15000+789.48-15000-789.48</f>
        <v>0</v>
      </c>
      <c r="G17" s="18">
        <v>0</v>
      </c>
      <c r="H17" s="18">
        <v>0</v>
      </c>
    </row>
    <row r="18" spans="1:8" ht="31.5" x14ac:dyDescent="0.25">
      <c r="A18" s="46" t="s">
        <v>312</v>
      </c>
      <c r="B18" s="19" t="s">
        <v>9</v>
      </c>
      <c r="C18" s="19" t="s">
        <v>11</v>
      </c>
      <c r="D18" s="19" t="s">
        <v>313</v>
      </c>
      <c r="E18" s="19" t="s">
        <v>15</v>
      </c>
      <c r="F18" s="35">
        <f>11200000+699843.06+181519.05</f>
        <v>12081362.110000001</v>
      </c>
      <c r="G18" s="35">
        <v>0</v>
      </c>
      <c r="H18" s="35">
        <v>0</v>
      </c>
    </row>
    <row r="19" spans="1:8" ht="81.75" customHeight="1" x14ac:dyDescent="0.25">
      <c r="A19" s="46" t="s">
        <v>320</v>
      </c>
      <c r="B19" s="19" t="s">
        <v>9</v>
      </c>
      <c r="C19" s="19" t="s">
        <v>11</v>
      </c>
      <c r="D19" s="19" t="s">
        <v>314</v>
      </c>
      <c r="E19" s="19" t="s">
        <v>15</v>
      </c>
      <c r="F19" s="35">
        <f>8919605.76+469415.04+57800+11.6+452.16+29547.84</f>
        <v>9476832.3999999985</v>
      </c>
      <c r="G19" s="35">
        <v>0</v>
      </c>
      <c r="H19" s="35">
        <v>0</v>
      </c>
    </row>
    <row r="20" spans="1:8" ht="126" x14ac:dyDescent="0.25">
      <c r="A20" s="46" t="s">
        <v>19</v>
      </c>
      <c r="B20" s="19" t="s">
        <v>9</v>
      </c>
      <c r="C20" s="19" t="s">
        <v>11</v>
      </c>
      <c r="D20" s="19" t="s">
        <v>20</v>
      </c>
      <c r="E20" s="19" t="s">
        <v>13</v>
      </c>
      <c r="F20" s="35">
        <v>182280</v>
      </c>
      <c r="G20" s="35">
        <v>171864</v>
      </c>
      <c r="H20" s="35">
        <v>171864</v>
      </c>
    </row>
    <row r="21" spans="1:8" ht="110.25" x14ac:dyDescent="0.25">
      <c r="A21" s="46" t="s">
        <v>21</v>
      </c>
      <c r="B21" s="19" t="s">
        <v>9</v>
      </c>
      <c r="C21" s="19" t="s">
        <v>11</v>
      </c>
      <c r="D21" s="19" t="s">
        <v>20</v>
      </c>
      <c r="E21" s="19" t="s">
        <v>15</v>
      </c>
      <c r="F21" s="35">
        <v>389827</v>
      </c>
      <c r="G21" s="35">
        <v>390515</v>
      </c>
      <c r="H21" s="35">
        <v>390515</v>
      </c>
    </row>
    <row r="22" spans="1:8" ht="31.5" x14ac:dyDescent="0.25">
      <c r="A22" s="48" t="s">
        <v>22</v>
      </c>
      <c r="B22" s="21" t="s">
        <v>9</v>
      </c>
      <c r="C22" s="21" t="s">
        <v>11</v>
      </c>
      <c r="D22" s="21" t="s">
        <v>23</v>
      </c>
      <c r="E22" s="21" t="s">
        <v>15</v>
      </c>
      <c r="F22" s="18">
        <f>5288199.46-5288199.46+1308099.46-3914.41</f>
        <v>1304185.05</v>
      </c>
      <c r="G22" s="18">
        <f>1392524.75-1392524.75</f>
        <v>0</v>
      </c>
      <c r="H22" s="18">
        <f>1362604.12-1362604.12</f>
        <v>0</v>
      </c>
    </row>
    <row r="23" spans="1:8" ht="36" customHeight="1" x14ac:dyDescent="0.25">
      <c r="A23" s="49" t="s">
        <v>24</v>
      </c>
      <c r="B23" s="21" t="s">
        <v>9</v>
      </c>
      <c r="C23" s="21" t="s">
        <v>11</v>
      </c>
      <c r="D23" s="21" t="s">
        <v>25</v>
      </c>
      <c r="E23" s="21" t="s">
        <v>15</v>
      </c>
      <c r="F23" s="18">
        <f>3926679-3926679+243704.18+19600+42902.19+50393.41+356712.01</f>
        <v>713311.79</v>
      </c>
      <c r="G23" s="18">
        <v>0</v>
      </c>
      <c r="H23" s="18">
        <v>0</v>
      </c>
    </row>
    <row r="24" spans="1:8" ht="31.5" x14ac:dyDescent="0.25">
      <c r="A24" s="49" t="s">
        <v>26</v>
      </c>
      <c r="B24" s="21" t="s">
        <v>9</v>
      </c>
      <c r="C24" s="21" t="s">
        <v>11</v>
      </c>
      <c r="D24" s="21" t="s">
        <v>27</v>
      </c>
      <c r="E24" s="21" t="s">
        <v>15</v>
      </c>
      <c r="F24" s="18">
        <f>281000-231000</f>
        <v>50000</v>
      </c>
      <c r="G24" s="18">
        <v>450000</v>
      </c>
      <c r="H24" s="18">
        <v>0</v>
      </c>
    </row>
    <row r="25" spans="1:8" ht="31.5" x14ac:dyDescent="0.25">
      <c r="A25" s="49" t="s">
        <v>28</v>
      </c>
      <c r="B25" s="21" t="s">
        <v>9</v>
      </c>
      <c r="C25" s="21" t="s">
        <v>11</v>
      </c>
      <c r="D25" s="21" t="s">
        <v>29</v>
      </c>
      <c r="E25" s="21" t="s">
        <v>15</v>
      </c>
      <c r="F25" s="18">
        <f>1200696.5-265300-6350</f>
        <v>929046.5</v>
      </c>
      <c r="G25" s="18">
        <v>989899</v>
      </c>
      <c r="H25" s="18">
        <v>999379</v>
      </c>
    </row>
    <row r="26" spans="1:8" ht="31.5" x14ac:dyDescent="0.25">
      <c r="A26" s="49" t="s">
        <v>193</v>
      </c>
      <c r="B26" s="19" t="s">
        <v>9</v>
      </c>
      <c r="C26" s="19" t="s">
        <v>11</v>
      </c>
      <c r="D26" s="19" t="s">
        <v>194</v>
      </c>
      <c r="E26" s="19" t="s">
        <v>15</v>
      </c>
      <c r="F26" s="18">
        <f>400000-0.8</f>
        <v>399999.2</v>
      </c>
      <c r="G26" s="18">
        <v>0</v>
      </c>
      <c r="H26" s="18">
        <v>0</v>
      </c>
    </row>
    <row r="27" spans="1:8" ht="63" x14ac:dyDescent="0.25">
      <c r="A27" s="46" t="s">
        <v>258</v>
      </c>
      <c r="B27" s="19" t="s">
        <v>9</v>
      </c>
      <c r="C27" s="19" t="s">
        <v>30</v>
      </c>
      <c r="D27" s="19" t="s">
        <v>262</v>
      </c>
      <c r="E27" s="19" t="s">
        <v>13</v>
      </c>
      <c r="F27" s="18">
        <f>66657.33+20130.11+621.08+187.57</f>
        <v>87596.090000000011</v>
      </c>
      <c r="G27" s="18">
        <f>66657.33+20130.11</f>
        <v>86787.44</v>
      </c>
      <c r="H27" s="18">
        <f>66657.33+20130.11</f>
        <v>86787.44</v>
      </c>
    </row>
    <row r="28" spans="1:8" ht="31.5" x14ac:dyDescent="0.25">
      <c r="A28" s="46" t="s">
        <v>260</v>
      </c>
      <c r="B28" s="19" t="s">
        <v>9</v>
      </c>
      <c r="C28" s="19" t="s">
        <v>30</v>
      </c>
      <c r="D28" s="19" t="s">
        <v>262</v>
      </c>
      <c r="E28" s="19" t="s">
        <v>15</v>
      </c>
      <c r="F28" s="18">
        <f>1481752.56+26712.45+3855.29+20398-28000</f>
        <v>1504718.3</v>
      </c>
      <c r="G28" s="18">
        <f>1451507.56</f>
        <v>1451507.56</v>
      </c>
      <c r="H28" s="18">
        <f>1451507.56</f>
        <v>1451507.56</v>
      </c>
    </row>
    <row r="29" spans="1:8" ht="63" x14ac:dyDescent="0.25">
      <c r="A29" s="49" t="s">
        <v>31</v>
      </c>
      <c r="B29" s="21" t="s">
        <v>9</v>
      </c>
      <c r="C29" s="21" t="s">
        <v>30</v>
      </c>
      <c r="D29" s="21" t="s">
        <v>32</v>
      </c>
      <c r="E29" s="21" t="s">
        <v>13</v>
      </c>
      <c r="F29" s="18">
        <f>8132868.21+103096+2456126.2-26420-3319+4872-16077+427325.85+129052.41+2184+659.57-38954</f>
        <v>11171414.24</v>
      </c>
      <c r="G29" s="18">
        <f>7938848.94+82106.43+2397533.35</f>
        <v>10418488.720000001</v>
      </c>
      <c r="H29" s="18">
        <f>7938848.94+116404+2372943.78</f>
        <v>10428196.720000001</v>
      </c>
    </row>
    <row r="30" spans="1:8" ht="47.25" x14ac:dyDescent="0.25">
      <c r="A30" s="49" t="s">
        <v>33</v>
      </c>
      <c r="B30" s="21" t="s">
        <v>9</v>
      </c>
      <c r="C30" s="21" t="s">
        <v>30</v>
      </c>
      <c r="D30" s="21" t="s">
        <v>32</v>
      </c>
      <c r="E30" s="21" t="s">
        <v>15</v>
      </c>
      <c r="F30" s="18">
        <f>7738318.49+14103473.28-7980+6648656.66+318.56-5827.12-219808.08-4872-11817.6+33791.06+78947.37+78947.37+200000-1949501.49+318473.86+48000-10937.06+51719.07-78947.37+120938+10000+66639.6-3864.21-78947.37-35160.34+83969.45+39130.98</f>
        <v>27213661.109999999</v>
      </c>
      <c r="G30" s="18">
        <f>8058311.53+474</f>
        <v>8058785.5300000003</v>
      </c>
      <c r="H30" s="18">
        <f>4621399.9</f>
        <v>4621399.9000000004</v>
      </c>
    </row>
    <row r="31" spans="1:8" ht="31.5" x14ac:dyDescent="0.25">
      <c r="A31" s="49" t="s">
        <v>34</v>
      </c>
      <c r="B31" s="21" t="s">
        <v>9</v>
      </c>
      <c r="C31" s="21" t="s">
        <v>30</v>
      </c>
      <c r="D31" s="21" t="s">
        <v>32</v>
      </c>
      <c r="E31" s="21" t="s">
        <v>17</v>
      </c>
      <c r="F31" s="18">
        <f>726958.82+3319+2250-62978.4-6927.6</f>
        <v>662621.81999999995</v>
      </c>
      <c r="G31" s="18">
        <f>723801.82</f>
        <v>723801.82</v>
      </c>
      <c r="H31" s="18">
        <f>720651.82</f>
        <v>720651.82</v>
      </c>
    </row>
    <row r="32" spans="1:8" ht="144.75" customHeight="1" x14ac:dyDescent="0.25">
      <c r="A32" s="46" t="s">
        <v>323</v>
      </c>
      <c r="B32" s="21" t="s">
        <v>9</v>
      </c>
      <c r="C32" s="21" t="s">
        <v>30</v>
      </c>
      <c r="D32" s="21" t="s">
        <v>35</v>
      </c>
      <c r="E32" s="21" t="s">
        <v>13</v>
      </c>
      <c r="F32" s="18">
        <v>7343280</v>
      </c>
      <c r="G32" s="18">
        <v>7343280</v>
      </c>
      <c r="H32" s="18">
        <v>7265160</v>
      </c>
    </row>
    <row r="33" spans="1:8" ht="157.5" x14ac:dyDescent="0.25">
      <c r="A33" s="47" t="s">
        <v>230</v>
      </c>
      <c r="B33" s="21" t="s">
        <v>9</v>
      </c>
      <c r="C33" s="21" t="s">
        <v>30</v>
      </c>
      <c r="D33" s="21" t="s">
        <v>36</v>
      </c>
      <c r="E33" s="21" t="s">
        <v>13</v>
      </c>
      <c r="F33" s="18">
        <f>68692613.5+435284.56+131455.94-55971.34-151616.87</f>
        <v>69051765.789999992</v>
      </c>
      <c r="G33" s="18">
        <f>47619322.58+14381035.42</f>
        <v>62000358</v>
      </c>
      <c r="H33" s="18">
        <f>47619322.58+14381035.42</f>
        <v>62000358</v>
      </c>
    </row>
    <row r="34" spans="1:8" ht="126" x14ac:dyDescent="0.25">
      <c r="A34" s="47" t="s">
        <v>231</v>
      </c>
      <c r="B34" s="22" t="s">
        <v>9</v>
      </c>
      <c r="C34" s="22" t="s">
        <v>30</v>
      </c>
      <c r="D34" s="22" t="s">
        <v>36</v>
      </c>
      <c r="E34" s="22" t="s">
        <v>15</v>
      </c>
      <c r="F34" s="18">
        <v>2098694</v>
      </c>
      <c r="G34" s="18">
        <v>2036580</v>
      </c>
      <c r="H34" s="18">
        <v>2036580</v>
      </c>
    </row>
    <row r="35" spans="1:8" ht="126" x14ac:dyDescent="0.25">
      <c r="A35" s="47" t="s">
        <v>37</v>
      </c>
      <c r="B35" s="24" t="s">
        <v>9</v>
      </c>
      <c r="C35" s="24" t="s">
        <v>30</v>
      </c>
      <c r="D35" s="24" t="s">
        <v>38</v>
      </c>
      <c r="E35" s="24" t="s">
        <v>39</v>
      </c>
      <c r="F35" s="25">
        <f>1733573.5+13406.25-126961.5</f>
        <v>1620018.25</v>
      </c>
      <c r="G35" s="25">
        <v>1399877</v>
      </c>
      <c r="H35" s="25">
        <v>1399877</v>
      </c>
    </row>
    <row r="36" spans="1:8" ht="95.25" customHeight="1" x14ac:dyDescent="0.25">
      <c r="A36" s="46" t="s">
        <v>232</v>
      </c>
      <c r="B36" s="24" t="s">
        <v>9</v>
      </c>
      <c r="C36" s="24" t="s">
        <v>30</v>
      </c>
      <c r="D36" s="24" t="s">
        <v>40</v>
      </c>
      <c r="E36" s="24" t="s">
        <v>15</v>
      </c>
      <c r="F36" s="25">
        <f>10210679+37618.29</f>
        <v>10248297.289999999</v>
      </c>
      <c r="G36" s="25">
        <f>10619171+39123.26</f>
        <v>10658294.26</v>
      </c>
      <c r="H36" s="25">
        <f>10917435+40222.13</f>
        <v>10957657.130000001</v>
      </c>
    </row>
    <row r="37" spans="1:8" ht="225.75" customHeight="1" x14ac:dyDescent="0.25">
      <c r="A37" s="46" t="s">
        <v>322</v>
      </c>
      <c r="B37" s="24" t="s">
        <v>9</v>
      </c>
      <c r="C37" s="24" t="s">
        <v>30</v>
      </c>
      <c r="D37" s="24" t="s">
        <v>321</v>
      </c>
      <c r="E37" s="24" t="s">
        <v>15</v>
      </c>
      <c r="F37" s="25">
        <v>387766.44</v>
      </c>
      <c r="G37" s="25">
        <v>0</v>
      </c>
      <c r="H37" s="25">
        <v>0</v>
      </c>
    </row>
    <row r="38" spans="1:8" ht="47.25" x14ac:dyDescent="0.25">
      <c r="A38" s="46" t="s">
        <v>264</v>
      </c>
      <c r="B38" s="24" t="s">
        <v>9</v>
      </c>
      <c r="C38" s="24" t="s">
        <v>30</v>
      </c>
      <c r="D38" s="24" t="s">
        <v>41</v>
      </c>
      <c r="E38" s="24" t="s">
        <v>15</v>
      </c>
      <c r="F38" s="25">
        <f>15000+789.48+14210.58-15000-15000.06</f>
        <v>0</v>
      </c>
      <c r="G38" s="25">
        <v>0</v>
      </c>
      <c r="H38" s="25">
        <v>0</v>
      </c>
    </row>
    <row r="39" spans="1:8" ht="66.75" customHeight="1" x14ac:dyDescent="0.25">
      <c r="A39" s="46" t="s">
        <v>284</v>
      </c>
      <c r="B39" s="24" t="s">
        <v>9</v>
      </c>
      <c r="C39" s="24" t="s">
        <v>30</v>
      </c>
      <c r="D39" s="24" t="s">
        <v>283</v>
      </c>
      <c r="E39" s="24" t="s">
        <v>15</v>
      </c>
      <c r="F39" s="25">
        <f>277605.46+14610.82</f>
        <v>292216.28000000003</v>
      </c>
      <c r="G39" s="25">
        <v>0</v>
      </c>
      <c r="H39" s="25">
        <v>0</v>
      </c>
    </row>
    <row r="40" spans="1:8" ht="51.75" customHeight="1" x14ac:dyDescent="0.25">
      <c r="A40" s="46" t="s">
        <v>316</v>
      </c>
      <c r="B40" s="24" t="s">
        <v>9</v>
      </c>
      <c r="C40" s="24" t="s">
        <v>30</v>
      </c>
      <c r="D40" s="24" t="s">
        <v>315</v>
      </c>
      <c r="E40" s="24" t="s">
        <v>15</v>
      </c>
      <c r="F40" s="25">
        <f>1500000+78947.37</f>
        <v>1578947.37</v>
      </c>
      <c r="G40" s="25">
        <v>0</v>
      </c>
      <c r="H40" s="25">
        <v>0</v>
      </c>
    </row>
    <row r="41" spans="1:8" ht="31.5" x14ac:dyDescent="0.25">
      <c r="A41" s="48" t="s">
        <v>22</v>
      </c>
      <c r="B41" s="21" t="s">
        <v>9</v>
      </c>
      <c r="C41" s="21" t="s">
        <v>30</v>
      </c>
      <c r="D41" s="21" t="s">
        <v>23</v>
      </c>
      <c r="E41" s="21" t="s">
        <v>15</v>
      </c>
      <c r="F41" s="18">
        <f>8846624.26-8846624.26+976159.26-2000-9731.56-27223.61</f>
        <v>937204.09</v>
      </c>
      <c r="G41" s="18">
        <f>2715891.76-2715891.76</f>
        <v>0</v>
      </c>
      <c r="H41" s="18">
        <f>2880064.06-2880064.06</f>
        <v>0</v>
      </c>
    </row>
    <row r="42" spans="1:8" ht="31.5" x14ac:dyDescent="0.25">
      <c r="A42" s="52" t="s">
        <v>24</v>
      </c>
      <c r="B42" s="24" t="s">
        <v>9</v>
      </c>
      <c r="C42" s="24" t="s">
        <v>30</v>
      </c>
      <c r="D42" s="24" t="s">
        <v>25</v>
      </c>
      <c r="E42" s="24" t="s">
        <v>15</v>
      </c>
      <c r="F42" s="25">
        <f>1000000+3926679+451824-48102+38053.15-3661.2-65578.65-356712.01-38130.98</f>
        <v>4904371.3099999996</v>
      </c>
      <c r="G42" s="25">
        <v>0</v>
      </c>
      <c r="H42" s="25">
        <v>0</v>
      </c>
    </row>
    <row r="43" spans="1:8" ht="63" x14ac:dyDescent="0.25">
      <c r="A43" s="52" t="s">
        <v>222</v>
      </c>
      <c r="B43" s="24" t="s">
        <v>9</v>
      </c>
      <c r="C43" s="24" t="s">
        <v>30</v>
      </c>
      <c r="D43" s="24" t="s">
        <v>217</v>
      </c>
      <c r="E43" s="24" t="s">
        <v>15</v>
      </c>
      <c r="F43" s="25">
        <f>1568745.8+158.46-1568745.8-158.46</f>
        <v>-3.7260861063259654E-11</v>
      </c>
      <c r="G43" s="25">
        <v>0</v>
      </c>
      <c r="H43" s="25">
        <v>0</v>
      </c>
    </row>
    <row r="44" spans="1:8" ht="47.25" x14ac:dyDescent="0.25">
      <c r="A44" s="52" t="s">
        <v>220</v>
      </c>
      <c r="B44" s="24" t="s">
        <v>9</v>
      </c>
      <c r="C44" s="24" t="s">
        <v>30</v>
      </c>
      <c r="D44" s="24" t="s">
        <v>218</v>
      </c>
      <c r="E44" s="24" t="s">
        <v>15</v>
      </c>
      <c r="F44" s="25">
        <f>2408919.2+243.33+1435580</f>
        <v>3844742.5300000003</v>
      </c>
      <c r="G44" s="25">
        <f>2363292.93+238.72</f>
        <v>2363531.6500000004</v>
      </c>
      <c r="H44" s="25">
        <v>0</v>
      </c>
    </row>
    <row r="45" spans="1:8" ht="47.25" x14ac:dyDescent="0.25">
      <c r="A45" s="48" t="s">
        <v>42</v>
      </c>
      <c r="B45" s="21" t="s">
        <v>9</v>
      </c>
      <c r="C45" s="21" t="s">
        <v>288</v>
      </c>
      <c r="D45" s="21" t="s">
        <v>43</v>
      </c>
      <c r="E45" s="21" t="s">
        <v>13</v>
      </c>
      <c r="F45" s="18">
        <f>65000+19630</f>
        <v>84630</v>
      </c>
      <c r="G45" s="18">
        <v>0</v>
      </c>
      <c r="H45" s="18">
        <v>0</v>
      </c>
    </row>
    <row r="46" spans="1:8" ht="31.5" x14ac:dyDescent="0.25">
      <c r="A46" s="54" t="s">
        <v>44</v>
      </c>
      <c r="B46" s="24" t="s">
        <v>9</v>
      </c>
      <c r="C46" s="24" t="s">
        <v>30</v>
      </c>
      <c r="D46" s="24" t="s">
        <v>45</v>
      </c>
      <c r="E46" s="24" t="s">
        <v>15</v>
      </c>
      <c r="F46" s="25">
        <v>34000</v>
      </c>
      <c r="G46" s="25">
        <v>37000</v>
      </c>
      <c r="H46" s="25">
        <v>40000</v>
      </c>
    </row>
    <row r="47" spans="1:8" ht="54.75" customHeight="1" x14ac:dyDescent="0.25">
      <c r="A47" s="54" t="s">
        <v>319</v>
      </c>
      <c r="B47" s="24" t="s">
        <v>9</v>
      </c>
      <c r="C47" s="24" t="s">
        <v>30</v>
      </c>
      <c r="D47" s="24" t="s">
        <v>29</v>
      </c>
      <c r="E47" s="24" t="s">
        <v>13</v>
      </c>
      <c r="F47" s="25">
        <v>18370</v>
      </c>
      <c r="G47" s="25">
        <v>0</v>
      </c>
      <c r="H47" s="25">
        <v>0</v>
      </c>
    </row>
    <row r="48" spans="1:8" ht="34.5" customHeight="1" x14ac:dyDescent="0.25">
      <c r="A48" s="54" t="s">
        <v>28</v>
      </c>
      <c r="B48" s="24" t="s">
        <v>9</v>
      </c>
      <c r="C48" s="24" t="s">
        <v>30</v>
      </c>
      <c r="D48" s="24" t="s">
        <v>29</v>
      </c>
      <c r="E48" s="24" t="s">
        <v>15</v>
      </c>
      <c r="F48" s="25">
        <f>1102142-210100-31860-2793.22-21041-14973.45+42102+20398-18370-20398+57410-1000</f>
        <v>901516.33000000007</v>
      </c>
      <c r="G48" s="25">
        <v>917236</v>
      </c>
      <c r="H48" s="25">
        <v>873384</v>
      </c>
    </row>
    <row r="49" spans="1:8" ht="31.5" x14ac:dyDescent="0.25">
      <c r="A49" s="48" t="s">
        <v>193</v>
      </c>
      <c r="B49" s="21" t="s">
        <v>9</v>
      </c>
      <c r="C49" s="21" t="s">
        <v>30</v>
      </c>
      <c r="D49" s="21" t="s">
        <v>194</v>
      </c>
      <c r="E49" s="21" t="s">
        <v>15</v>
      </c>
      <c r="F49" s="18">
        <v>200000</v>
      </c>
      <c r="G49" s="18">
        <v>0</v>
      </c>
      <c r="H49" s="18">
        <v>0</v>
      </c>
    </row>
    <row r="50" spans="1:8" ht="47.25" x14ac:dyDescent="0.25">
      <c r="A50" s="52" t="s">
        <v>304</v>
      </c>
      <c r="B50" s="24" t="s">
        <v>9</v>
      </c>
      <c r="C50" s="24" t="s">
        <v>47</v>
      </c>
      <c r="D50" s="24" t="s">
        <v>303</v>
      </c>
      <c r="E50" s="24" t="s">
        <v>39</v>
      </c>
      <c r="F50" s="25">
        <f>1477490.08+24500+24500+24500+4364.96</f>
        <v>1555355.04</v>
      </c>
      <c r="G50" s="25">
        <v>0</v>
      </c>
      <c r="H50" s="25">
        <v>0</v>
      </c>
    </row>
    <row r="51" spans="1:8" ht="31.5" x14ac:dyDescent="0.25">
      <c r="A51" s="52" t="s">
        <v>305</v>
      </c>
      <c r="B51" s="24" t="s">
        <v>9</v>
      </c>
      <c r="C51" s="24" t="s">
        <v>47</v>
      </c>
      <c r="D51" s="24" t="s">
        <v>303</v>
      </c>
      <c r="E51" s="24" t="s">
        <v>17</v>
      </c>
      <c r="F51" s="25">
        <v>27329.919999999998</v>
      </c>
      <c r="G51" s="25">
        <v>0</v>
      </c>
      <c r="H51" s="25">
        <v>0</v>
      </c>
    </row>
    <row r="52" spans="1:8" ht="63" x14ac:dyDescent="0.25">
      <c r="A52" s="54" t="s">
        <v>46</v>
      </c>
      <c r="B52" s="24" t="s">
        <v>9</v>
      </c>
      <c r="C52" s="24" t="s">
        <v>47</v>
      </c>
      <c r="D52" s="24" t="s">
        <v>48</v>
      </c>
      <c r="E52" s="24" t="s">
        <v>13</v>
      </c>
      <c r="F52" s="25">
        <f>7430433.57+10350+2238554.94-5261238.62-8230-1588520.13</f>
        <v>2821349.76</v>
      </c>
      <c r="G52" s="25">
        <f>8392427.21+10350+2529000.73-8392427.21-10350-2529000.73</f>
        <v>0</v>
      </c>
      <c r="H52" s="25">
        <f>8392427.21+10350+2529000.73-8392427.21-10350-2529000.73</f>
        <v>0</v>
      </c>
    </row>
    <row r="53" spans="1:8" ht="47.25" x14ac:dyDescent="0.25">
      <c r="A53" s="54" t="s">
        <v>49</v>
      </c>
      <c r="B53" s="24" t="s">
        <v>9</v>
      </c>
      <c r="C53" s="24" t="s">
        <v>47</v>
      </c>
      <c r="D53" s="24" t="s">
        <v>48</v>
      </c>
      <c r="E53" s="24" t="s">
        <v>15</v>
      </c>
      <c r="F53" s="25">
        <f>1239247.22+219242.62-855253.13-112126.41</f>
        <v>491110.29999999981</v>
      </c>
      <c r="G53" s="25">
        <f>1001238.28+201265.58-1001238.28-201265.58</f>
        <v>0</v>
      </c>
      <c r="H53" s="25">
        <f>201265.58+852662.28-852662.28-201265.58</f>
        <v>0</v>
      </c>
    </row>
    <row r="54" spans="1:8" ht="47.25" x14ac:dyDescent="0.25">
      <c r="A54" s="54" t="s">
        <v>195</v>
      </c>
      <c r="B54" s="24" t="s">
        <v>9</v>
      </c>
      <c r="C54" s="24" t="s">
        <v>47</v>
      </c>
      <c r="D54" s="24" t="s">
        <v>48</v>
      </c>
      <c r="E54" s="24" t="s">
        <v>39</v>
      </c>
      <c r="F54" s="25">
        <f>7825618.29+300762+8000-1579127.25+261795.28+25593.29-4364.96-735320.56+39390</f>
        <v>6142346.0899999999</v>
      </c>
      <c r="G54" s="25">
        <f>12357586.8</f>
        <v>12357586.800000001</v>
      </c>
      <c r="H54" s="25">
        <f>12187014.8</f>
        <v>12187014.800000001</v>
      </c>
    </row>
    <row r="55" spans="1:8" ht="31.5" x14ac:dyDescent="0.25">
      <c r="A55" s="54" t="s">
        <v>50</v>
      </c>
      <c r="B55" s="24" t="s">
        <v>9</v>
      </c>
      <c r="C55" s="24" t="s">
        <v>47</v>
      </c>
      <c r="D55" s="24" t="s">
        <v>48</v>
      </c>
      <c r="E55" s="24" t="s">
        <v>17</v>
      </c>
      <c r="F55" s="25">
        <f>250-250</f>
        <v>0</v>
      </c>
      <c r="G55" s="25">
        <f>1250-1000-250</f>
        <v>0</v>
      </c>
      <c r="H55" s="25">
        <f>1250-1000-250</f>
        <v>0</v>
      </c>
    </row>
    <row r="56" spans="1:8" ht="94.5" x14ac:dyDescent="0.25">
      <c r="A56" s="54" t="s">
        <v>51</v>
      </c>
      <c r="B56" s="24" t="s">
        <v>9</v>
      </c>
      <c r="C56" s="24" t="s">
        <v>47</v>
      </c>
      <c r="D56" s="24" t="s">
        <v>52</v>
      </c>
      <c r="E56" s="24" t="s">
        <v>13</v>
      </c>
      <c r="F56" s="25">
        <f>357498.9+107964.66-238285.9-71977.66</f>
        <v>155200.00000000006</v>
      </c>
      <c r="G56" s="25">
        <v>0</v>
      </c>
      <c r="H56" s="25">
        <v>0</v>
      </c>
    </row>
    <row r="57" spans="1:8" ht="63" x14ac:dyDescent="0.25">
      <c r="A57" s="54" t="s">
        <v>292</v>
      </c>
      <c r="B57" s="24" t="s">
        <v>9</v>
      </c>
      <c r="C57" s="24" t="s">
        <v>47</v>
      </c>
      <c r="D57" s="24" t="s">
        <v>52</v>
      </c>
      <c r="E57" s="24" t="s">
        <v>39</v>
      </c>
      <c r="F57" s="25">
        <v>310263.56</v>
      </c>
      <c r="G57" s="25">
        <v>0</v>
      </c>
      <c r="H57" s="25">
        <v>0</v>
      </c>
    </row>
    <row r="58" spans="1:8" ht="94.5" x14ac:dyDescent="0.25">
      <c r="A58" s="54" t="s">
        <v>53</v>
      </c>
      <c r="B58" s="24" t="s">
        <v>9</v>
      </c>
      <c r="C58" s="24" t="s">
        <v>47</v>
      </c>
      <c r="D58" s="24" t="s">
        <v>54</v>
      </c>
      <c r="E58" s="24" t="s">
        <v>13</v>
      </c>
      <c r="F58" s="25">
        <f>112894.38+34094.11-75260.87-22728</f>
        <v>48999.619999999995</v>
      </c>
      <c r="G58" s="25">
        <v>0</v>
      </c>
      <c r="H58" s="25">
        <v>0</v>
      </c>
    </row>
    <row r="59" spans="1:8" ht="63" x14ac:dyDescent="0.25">
      <c r="A59" s="54" t="s">
        <v>294</v>
      </c>
      <c r="B59" s="24" t="s">
        <v>9</v>
      </c>
      <c r="C59" s="24" t="s">
        <v>47</v>
      </c>
      <c r="D59" s="24" t="s">
        <v>54</v>
      </c>
      <c r="E59" s="24" t="s">
        <v>39</v>
      </c>
      <c r="F59" s="25">
        <v>97988.87</v>
      </c>
      <c r="G59" s="25">
        <v>0</v>
      </c>
      <c r="H59" s="25">
        <v>0</v>
      </c>
    </row>
    <row r="60" spans="1:8" ht="94.5" x14ac:dyDescent="0.25">
      <c r="A60" s="54" t="s">
        <v>55</v>
      </c>
      <c r="B60" s="24" t="s">
        <v>9</v>
      </c>
      <c r="C60" s="24" t="s">
        <v>47</v>
      </c>
      <c r="D60" s="24" t="s">
        <v>56</v>
      </c>
      <c r="E60" s="24" t="s">
        <v>13</v>
      </c>
      <c r="F60" s="25">
        <f>544725.4-313781.98-94762.07</f>
        <v>136181.35000000003</v>
      </c>
      <c r="G60" s="25">
        <v>0</v>
      </c>
      <c r="H60" s="25">
        <v>0</v>
      </c>
    </row>
    <row r="61" spans="1:8" ht="78.75" x14ac:dyDescent="0.25">
      <c r="A61" s="54" t="s">
        <v>293</v>
      </c>
      <c r="B61" s="24" t="s">
        <v>9</v>
      </c>
      <c r="C61" s="24" t="s">
        <v>47</v>
      </c>
      <c r="D61" s="24" t="s">
        <v>56</v>
      </c>
      <c r="E61" s="24" t="s">
        <v>39</v>
      </c>
      <c r="F61" s="25">
        <v>408544.05</v>
      </c>
      <c r="G61" s="25">
        <v>0</v>
      </c>
      <c r="H61" s="25">
        <v>0</v>
      </c>
    </row>
    <row r="62" spans="1:8" ht="94.5" x14ac:dyDescent="0.25">
      <c r="A62" s="54" t="s">
        <v>57</v>
      </c>
      <c r="B62" s="24" t="s">
        <v>9</v>
      </c>
      <c r="C62" s="24" t="s">
        <v>47</v>
      </c>
      <c r="D62" s="24" t="s">
        <v>58</v>
      </c>
      <c r="E62" s="24" t="s">
        <v>13</v>
      </c>
      <c r="F62" s="25">
        <f>28669.76-16514.83-4987.49</f>
        <v>7167.4399999999969</v>
      </c>
      <c r="G62" s="25">
        <v>0</v>
      </c>
      <c r="H62" s="25">
        <v>0</v>
      </c>
    </row>
    <row r="63" spans="1:8" ht="78.75" x14ac:dyDescent="0.25">
      <c r="A63" s="54" t="s">
        <v>295</v>
      </c>
      <c r="B63" s="24" t="s">
        <v>9</v>
      </c>
      <c r="C63" s="24" t="s">
        <v>47</v>
      </c>
      <c r="D63" s="24" t="s">
        <v>58</v>
      </c>
      <c r="E63" s="24" t="s">
        <v>39</v>
      </c>
      <c r="F63" s="25">
        <v>21502.32</v>
      </c>
      <c r="G63" s="25">
        <v>0</v>
      </c>
      <c r="H63" s="25">
        <v>0</v>
      </c>
    </row>
    <row r="64" spans="1:8" ht="31.5" x14ac:dyDescent="0.25">
      <c r="A64" s="54" t="s">
        <v>22</v>
      </c>
      <c r="B64" s="24" t="s">
        <v>9</v>
      </c>
      <c r="C64" s="24" t="s">
        <v>47</v>
      </c>
      <c r="D64" s="24" t="s">
        <v>23</v>
      </c>
      <c r="E64" s="24" t="s">
        <v>15</v>
      </c>
      <c r="F64" s="25">
        <f>269143-43482.6-155110.4-7536.76-41212.16</f>
        <v>21801.079999999994</v>
      </c>
      <c r="G64" s="25">
        <f>67580-67580</f>
        <v>0</v>
      </c>
      <c r="H64" s="25">
        <f>73399-73399</f>
        <v>0</v>
      </c>
    </row>
    <row r="65" spans="1:8" ht="47.25" x14ac:dyDescent="0.25">
      <c r="A65" s="54" t="s">
        <v>296</v>
      </c>
      <c r="B65" s="24" t="s">
        <v>9</v>
      </c>
      <c r="C65" s="24" t="s">
        <v>47</v>
      </c>
      <c r="D65" s="24" t="s">
        <v>23</v>
      </c>
      <c r="E65" s="24" t="s">
        <v>39</v>
      </c>
      <c r="F65" s="25">
        <v>41212.160000000003</v>
      </c>
      <c r="G65" s="25">
        <v>0</v>
      </c>
      <c r="H65" s="25">
        <v>0</v>
      </c>
    </row>
    <row r="66" spans="1:8" ht="31.5" x14ac:dyDescent="0.25">
      <c r="A66" s="48" t="s">
        <v>24</v>
      </c>
      <c r="B66" s="24" t="s">
        <v>9</v>
      </c>
      <c r="C66" s="24" t="s">
        <v>47</v>
      </c>
      <c r="D66" s="24" t="s">
        <v>25</v>
      </c>
      <c r="E66" s="24" t="s">
        <v>15</v>
      </c>
      <c r="F66" s="25">
        <f>100000-100000</f>
        <v>0</v>
      </c>
      <c r="G66" s="25">
        <f>70000-70000</f>
        <v>0</v>
      </c>
      <c r="H66" s="25">
        <v>0</v>
      </c>
    </row>
    <row r="67" spans="1:8" ht="47.25" x14ac:dyDescent="0.25">
      <c r="A67" s="48" t="s">
        <v>233</v>
      </c>
      <c r="B67" s="24" t="s">
        <v>9</v>
      </c>
      <c r="C67" s="24" t="s">
        <v>47</v>
      </c>
      <c r="D67" s="24" t="s">
        <v>226</v>
      </c>
      <c r="E67" s="24" t="s">
        <v>15</v>
      </c>
      <c r="F67" s="25">
        <v>0</v>
      </c>
      <c r="G67" s="25">
        <f>273605.2+28-273633.2</f>
        <v>0</v>
      </c>
      <c r="H67" s="25">
        <f>272915.4+28-272943.4</f>
        <v>0</v>
      </c>
    </row>
    <row r="68" spans="1:8" ht="63" x14ac:dyDescent="0.25">
      <c r="A68" s="48" t="s">
        <v>317</v>
      </c>
      <c r="B68" s="24" t="s">
        <v>9</v>
      </c>
      <c r="C68" s="24" t="s">
        <v>47</v>
      </c>
      <c r="D68" s="24" t="s">
        <v>226</v>
      </c>
      <c r="E68" s="24" t="s">
        <v>39</v>
      </c>
      <c r="F68" s="25">
        <v>0</v>
      </c>
      <c r="G68" s="25">
        <v>273633.2</v>
      </c>
      <c r="H68" s="25">
        <v>272943.40000000002</v>
      </c>
    </row>
    <row r="69" spans="1:8" ht="31.5" x14ac:dyDescent="0.25">
      <c r="A69" s="48" t="s">
        <v>28</v>
      </c>
      <c r="B69" s="24" t="s">
        <v>9</v>
      </c>
      <c r="C69" s="24" t="s">
        <v>47</v>
      </c>
      <c r="D69" s="24" t="s">
        <v>29</v>
      </c>
      <c r="E69" s="24" t="s">
        <v>15</v>
      </c>
      <c r="F69" s="25">
        <f>140760-119881.5</f>
        <v>20878.5</v>
      </c>
      <c r="G69" s="25">
        <f>84475-84475</f>
        <v>0</v>
      </c>
      <c r="H69" s="25">
        <f>126660-126660</f>
        <v>0</v>
      </c>
    </row>
    <row r="70" spans="1:8" ht="31.5" x14ac:dyDescent="0.25">
      <c r="A70" s="48" t="s">
        <v>297</v>
      </c>
      <c r="B70" s="24" t="s">
        <v>9</v>
      </c>
      <c r="C70" s="24" t="s">
        <v>47</v>
      </c>
      <c r="D70" s="24" t="s">
        <v>29</v>
      </c>
      <c r="E70" s="24" t="s">
        <v>39</v>
      </c>
      <c r="F70" s="25">
        <v>119881.5</v>
      </c>
      <c r="G70" s="25">
        <v>0</v>
      </c>
      <c r="H70" s="25">
        <v>0</v>
      </c>
    </row>
    <row r="71" spans="1:8" ht="63" x14ac:dyDescent="0.25">
      <c r="A71" s="47" t="s">
        <v>291</v>
      </c>
      <c r="B71" s="21" t="s">
        <v>9</v>
      </c>
      <c r="C71" s="21" t="s">
        <v>60</v>
      </c>
      <c r="D71" s="21" t="s">
        <v>61</v>
      </c>
      <c r="E71" s="21" t="s">
        <v>13</v>
      </c>
      <c r="F71" s="18">
        <f>115207+34793+6046.1+1825.7-485.9-147.03</f>
        <v>157238.87000000002</v>
      </c>
      <c r="G71" s="18">
        <v>0</v>
      </c>
      <c r="H71" s="18">
        <v>0</v>
      </c>
    </row>
    <row r="72" spans="1:8" ht="31.5" x14ac:dyDescent="0.25">
      <c r="A72" s="47" t="s">
        <v>59</v>
      </c>
      <c r="B72" s="21" t="s">
        <v>9</v>
      </c>
      <c r="C72" s="21" t="s">
        <v>60</v>
      </c>
      <c r="D72" s="21" t="s">
        <v>61</v>
      </c>
      <c r="E72" s="21" t="s">
        <v>15</v>
      </c>
      <c r="F72" s="18">
        <f>150000-150000</f>
        <v>0</v>
      </c>
      <c r="G72" s="18">
        <v>150000</v>
      </c>
      <c r="H72" s="18">
        <v>155000</v>
      </c>
    </row>
    <row r="73" spans="1:8" ht="47.25" x14ac:dyDescent="0.25">
      <c r="A73" s="47" t="s">
        <v>282</v>
      </c>
      <c r="B73" s="21" t="s">
        <v>9</v>
      </c>
      <c r="C73" s="21" t="s">
        <v>60</v>
      </c>
      <c r="D73" s="21" t="s">
        <v>63</v>
      </c>
      <c r="E73" s="21" t="s">
        <v>15</v>
      </c>
      <c r="F73" s="18">
        <v>104160</v>
      </c>
      <c r="G73" s="18">
        <v>0</v>
      </c>
      <c r="H73" s="18">
        <v>0</v>
      </c>
    </row>
    <row r="74" spans="1:8" ht="47.25" x14ac:dyDescent="0.25">
      <c r="A74" s="47" t="s">
        <v>62</v>
      </c>
      <c r="B74" s="21" t="s">
        <v>9</v>
      </c>
      <c r="C74" s="21" t="s">
        <v>60</v>
      </c>
      <c r="D74" s="21" t="s">
        <v>63</v>
      </c>
      <c r="E74" s="21" t="s">
        <v>39</v>
      </c>
      <c r="F74" s="18">
        <f>651000+338520-104160</f>
        <v>885360</v>
      </c>
      <c r="G74" s="18">
        <f t="shared" ref="G74:H74" si="1">651000+338520</f>
        <v>989520</v>
      </c>
      <c r="H74" s="18">
        <f t="shared" si="1"/>
        <v>989520</v>
      </c>
    </row>
    <row r="75" spans="1:8" ht="63" x14ac:dyDescent="0.25">
      <c r="A75" s="47" t="s">
        <v>263</v>
      </c>
      <c r="B75" s="21" t="s">
        <v>9</v>
      </c>
      <c r="C75" s="21" t="s">
        <v>60</v>
      </c>
      <c r="D75" s="21" t="s">
        <v>64</v>
      </c>
      <c r="E75" s="21" t="s">
        <v>39</v>
      </c>
      <c r="F75" s="18">
        <v>52080</v>
      </c>
      <c r="G75" s="18">
        <v>52080</v>
      </c>
      <c r="H75" s="18">
        <v>52080</v>
      </c>
    </row>
    <row r="76" spans="1:8" ht="47.25" x14ac:dyDescent="0.25">
      <c r="A76" s="49" t="s">
        <v>65</v>
      </c>
      <c r="B76" s="21" t="s">
        <v>9</v>
      </c>
      <c r="C76" s="21" t="s">
        <v>66</v>
      </c>
      <c r="D76" s="21" t="s">
        <v>32</v>
      </c>
      <c r="E76" s="21" t="s">
        <v>39</v>
      </c>
      <c r="F76" s="18">
        <f>8792506.97+1700500-1700500+1164500+330400+193280+48590.11+42494.74+330089.19</f>
        <v>10901861.01</v>
      </c>
      <c r="G76" s="18">
        <f>8792506.97</f>
        <v>8792506.9700000007</v>
      </c>
      <c r="H76" s="18">
        <f>8792506.97</f>
        <v>8792506.9700000007</v>
      </c>
    </row>
    <row r="77" spans="1:8" ht="47.25" x14ac:dyDescent="0.25">
      <c r="A77" s="49" t="s">
        <v>221</v>
      </c>
      <c r="B77" s="21" t="s">
        <v>9</v>
      </c>
      <c r="C77" s="21" t="s">
        <v>66</v>
      </c>
      <c r="D77" s="21" t="s">
        <v>219</v>
      </c>
      <c r="E77" s="21" t="s">
        <v>15</v>
      </c>
      <c r="F77" s="18">
        <f>1584407.41+160.1-1584407.41-160.1</f>
        <v>9.3137941803433932E-11</v>
      </c>
      <c r="G77" s="18">
        <f>4691028.6+474-4691028.6-474</f>
        <v>0</v>
      </c>
      <c r="H77" s="18">
        <v>0</v>
      </c>
    </row>
    <row r="78" spans="1:8" ht="63" x14ac:dyDescent="0.25">
      <c r="A78" s="51" t="s">
        <v>250</v>
      </c>
      <c r="B78" s="22" t="s">
        <v>9</v>
      </c>
      <c r="C78" s="22" t="s">
        <v>66</v>
      </c>
      <c r="D78" s="22" t="s">
        <v>68</v>
      </c>
      <c r="E78" s="22" t="s">
        <v>13</v>
      </c>
      <c r="F78" s="18">
        <v>6000</v>
      </c>
      <c r="G78" s="18">
        <v>6000</v>
      </c>
      <c r="H78" s="18">
        <v>6000</v>
      </c>
    </row>
    <row r="79" spans="1:8" ht="31.5" x14ac:dyDescent="0.25">
      <c r="A79" s="51" t="s">
        <v>67</v>
      </c>
      <c r="B79" s="22" t="s">
        <v>9</v>
      </c>
      <c r="C79" s="22" t="s">
        <v>66</v>
      </c>
      <c r="D79" s="22" t="s">
        <v>68</v>
      </c>
      <c r="E79" s="22" t="s">
        <v>15</v>
      </c>
      <c r="F79" s="18">
        <v>179057</v>
      </c>
      <c r="G79" s="18">
        <v>179057</v>
      </c>
      <c r="H79" s="18">
        <v>179057</v>
      </c>
    </row>
    <row r="80" spans="1:8" ht="31.5" x14ac:dyDescent="0.25">
      <c r="A80" s="51" t="s">
        <v>69</v>
      </c>
      <c r="B80" s="22" t="s">
        <v>9</v>
      </c>
      <c r="C80" s="22" t="s">
        <v>66</v>
      </c>
      <c r="D80" s="22" t="s">
        <v>68</v>
      </c>
      <c r="E80" s="22" t="s">
        <v>70</v>
      </c>
      <c r="F80" s="18">
        <v>114943</v>
      </c>
      <c r="G80" s="18">
        <v>114943</v>
      </c>
      <c r="H80" s="18">
        <v>114943</v>
      </c>
    </row>
    <row r="81" spans="1:11" ht="47.25" x14ac:dyDescent="0.25">
      <c r="A81" s="51" t="s">
        <v>42</v>
      </c>
      <c r="B81" s="22" t="s">
        <v>9</v>
      </c>
      <c r="C81" s="22" t="s">
        <v>66</v>
      </c>
      <c r="D81" s="22" t="s">
        <v>43</v>
      </c>
      <c r="E81" s="22" t="s">
        <v>13</v>
      </c>
      <c r="F81" s="18">
        <f>85299.54+16700.46-84630-7871.8-9498.2</f>
        <v>0</v>
      </c>
      <c r="G81" s="18">
        <f t="shared" ref="G81:H81" si="2">85299.54+16700.46</f>
        <v>102000</v>
      </c>
      <c r="H81" s="18">
        <f t="shared" si="2"/>
        <v>102000</v>
      </c>
    </row>
    <row r="82" spans="1:11" ht="31.5" x14ac:dyDescent="0.25">
      <c r="A82" s="51" t="s">
        <v>71</v>
      </c>
      <c r="B82" s="22" t="s">
        <v>9</v>
      </c>
      <c r="C82" s="22" t="s">
        <v>66</v>
      </c>
      <c r="D82" s="22" t="s">
        <v>43</v>
      </c>
      <c r="E82" s="22" t="s">
        <v>15</v>
      </c>
      <c r="F82" s="18">
        <f>35000-35000</f>
        <v>0</v>
      </c>
      <c r="G82" s="18">
        <v>35000</v>
      </c>
      <c r="H82" s="18">
        <v>35000</v>
      </c>
    </row>
    <row r="83" spans="1:11" ht="31.5" x14ac:dyDescent="0.25">
      <c r="A83" s="51" t="s">
        <v>72</v>
      </c>
      <c r="B83" s="22" t="s">
        <v>9</v>
      </c>
      <c r="C83" s="22" t="s">
        <v>66</v>
      </c>
      <c r="D83" s="22" t="s">
        <v>43</v>
      </c>
      <c r="E83" s="22" t="s">
        <v>70</v>
      </c>
      <c r="F83" s="18">
        <f>35000-35000</f>
        <v>0</v>
      </c>
      <c r="G83" s="18">
        <v>35000</v>
      </c>
      <c r="H83" s="18">
        <v>35000</v>
      </c>
    </row>
    <row r="84" spans="1:11" ht="31.5" x14ac:dyDescent="0.25">
      <c r="A84" s="51" t="s">
        <v>28</v>
      </c>
      <c r="B84" s="22" t="s">
        <v>9</v>
      </c>
      <c r="C84" s="22" t="s">
        <v>66</v>
      </c>
      <c r="D84" s="22" t="s">
        <v>29</v>
      </c>
      <c r="E84" s="22" t="s">
        <v>15</v>
      </c>
      <c r="F84" s="18">
        <v>24596</v>
      </c>
      <c r="G84" s="18">
        <v>28580</v>
      </c>
      <c r="H84" s="18">
        <v>22280</v>
      </c>
    </row>
    <row r="85" spans="1:11" ht="63" x14ac:dyDescent="0.25">
      <c r="A85" s="47" t="s">
        <v>73</v>
      </c>
      <c r="B85" s="21" t="s">
        <v>9</v>
      </c>
      <c r="C85" s="21" t="s">
        <v>66</v>
      </c>
      <c r="D85" s="21" t="s">
        <v>74</v>
      </c>
      <c r="E85" s="21" t="s">
        <v>13</v>
      </c>
      <c r="F85" s="18">
        <f>10088634.8+3046767.71+9702+2930+125780+37985.56</f>
        <v>13311800.070000002</v>
      </c>
      <c r="G85" s="18">
        <f t="shared" ref="G85:H85" si="3">10088634.8+3046767.71</f>
        <v>13135402.510000002</v>
      </c>
      <c r="H85" s="18">
        <f t="shared" si="3"/>
        <v>13135402.510000002</v>
      </c>
    </row>
    <row r="86" spans="1:11" ht="47.25" x14ac:dyDescent="0.25">
      <c r="A86" s="50" t="s">
        <v>75</v>
      </c>
      <c r="B86" s="22" t="s">
        <v>9</v>
      </c>
      <c r="C86" s="22" t="s">
        <v>66</v>
      </c>
      <c r="D86" s="22" t="s">
        <v>74</v>
      </c>
      <c r="E86" s="21" t="s">
        <v>15</v>
      </c>
      <c r="F86" s="18">
        <f>1421572.24+505464-6893.87+30000+200000-10000-20000+79498.2</f>
        <v>2199640.5700000003</v>
      </c>
      <c r="G86" s="18">
        <f>1431479.71+515445.33</f>
        <v>1946925.04</v>
      </c>
      <c r="H86" s="18">
        <f>1351079.71+515445.33</f>
        <v>1866525.04</v>
      </c>
    </row>
    <row r="87" spans="1:11" ht="31.5" x14ac:dyDescent="0.25">
      <c r="A87" s="53" t="s">
        <v>76</v>
      </c>
      <c r="B87" s="23" t="s">
        <v>9</v>
      </c>
      <c r="C87" s="23" t="s">
        <v>66</v>
      </c>
      <c r="D87" s="22" t="s">
        <v>74</v>
      </c>
      <c r="E87" s="24" t="s">
        <v>17</v>
      </c>
      <c r="F87" s="25">
        <v>2120</v>
      </c>
      <c r="G87" s="25">
        <v>2120</v>
      </c>
      <c r="H87" s="25">
        <v>2120</v>
      </c>
    </row>
    <row r="88" spans="1:11" ht="78.75" x14ac:dyDescent="0.25">
      <c r="A88" s="50" t="s">
        <v>77</v>
      </c>
      <c r="B88" s="22" t="s">
        <v>9</v>
      </c>
      <c r="C88" s="22" t="s">
        <v>78</v>
      </c>
      <c r="D88" s="22" t="s">
        <v>79</v>
      </c>
      <c r="E88" s="21" t="s">
        <v>70</v>
      </c>
      <c r="F88" s="18">
        <v>1978244.77</v>
      </c>
      <c r="G88" s="18">
        <v>1832091.9</v>
      </c>
      <c r="H88" s="18">
        <v>1832091.9</v>
      </c>
    </row>
    <row r="89" spans="1:11" ht="63" x14ac:dyDescent="0.25">
      <c r="A89" s="47" t="s">
        <v>80</v>
      </c>
      <c r="B89" s="21" t="s">
        <v>9</v>
      </c>
      <c r="C89" s="21" t="s">
        <v>81</v>
      </c>
      <c r="D89" s="21" t="s">
        <v>82</v>
      </c>
      <c r="E89" s="21" t="s">
        <v>13</v>
      </c>
      <c r="F89" s="18">
        <f>361509.6+6900+109175.9-280774.85-6900-84793.99</f>
        <v>105116.66000000002</v>
      </c>
      <c r="G89" s="18">
        <f>361509.6+19500+109175.9-361509.6-19500-109175.9</f>
        <v>0</v>
      </c>
      <c r="H89" s="18">
        <f>361509.6+19500+109175.9-361509.6-19500-109175.9</f>
        <v>0</v>
      </c>
    </row>
    <row r="90" spans="1:11" ht="47.25" x14ac:dyDescent="0.3">
      <c r="A90" s="47" t="s">
        <v>83</v>
      </c>
      <c r="B90" s="21" t="s">
        <v>9</v>
      </c>
      <c r="C90" s="21" t="s">
        <v>81</v>
      </c>
      <c r="D90" s="21" t="s">
        <v>82</v>
      </c>
      <c r="E90" s="21" t="s">
        <v>15</v>
      </c>
      <c r="F90" s="18">
        <f>276700-146600-108022</f>
        <v>22078</v>
      </c>
      <c r="G90" s="18">
        <f>207300-207300</f>
        <v>0</v>
      </c>
      <c r="H90" s="18">
        <f>345300-345300</f>
        <v>0</v>
      </c>
      <c r="I90" s="9"/>
      <c r="J90" s="9"/>
      <c r="K90" s="9"/>
    </row>
    <row r="91" spans="1:11" ht="47.25" x14ac:dyDescent="0.3">
      <c r="A91" s="47" t="s">
        <v>298</v>
      </c>
      <c r="B91" s="21" t="s">
        <v>9</v>
      </c>
      <c r="C91" s="21" t="s">
        <v>81</v>
      </c>
      <c r="D91" s="21" t="s">
        <v>82</v>
      </c>
      <c r="E91" s="21" t="s">
        <v>39</v>
      </c>
      <c r="F91" s="18">
        <v>480490.84</v>
      </c>
      <c r="G91" s="18">
        <v>697485.5</v>
      </c>
      <c r="H91" s="18">
        <v>835485.5</v>
      </c>
      <c r="I91" s="9"/>
      <c r="J91" s="9"/>
      <c r="K91" s="9"/>
    </row>
    <row r="92" spans="1:11" ht="15.75" x14ac:dyDescent="0.25">
      <c r="A92" s="45" t="s">
        <v>84</v>
      </c>
      <c r="B92" s="26" t="s">
        <v>85</v>
      </c>
      <c r="C92" s="26"/>
      <c r="D92" s="26"/>
      <c r="E92" s="26"/>
      <c r="F92" s="16">
        <f>SUM(F93:F100)</f>
        <v>14325502.050000001</v>
      </c>
      <c r="G92" s="16">
        <f>SUM(G93:G100)</f>
        <v>11060856.020000001</v>
      </c>
      <c r="H92" s="16">
        <f>SUM(H93:H100)</f>
        <v>11074250.370000001</v>
      </c>
      <c r="I92" s="10"/>
      <c r="J92" s="10"/>
      <c r="K92" s="10"/>
    </row>
    <row r="93" spans="1:11" ht="63" x14ac:dyDescent="0.25">
      <c r="A93" s="55" t="s">
        <v>86</v>
      </c>
      <c r="B93" s="19" t="s">
        <v>85</v>
      </c>
      <c r="C93" s="27" t="s">
        <v>87</v>
      </c>
      <c r="D93" s="27" t="s">
        <v>88</v>
      </c>
      <c r="E93" s="27" t="s">
        <v>13</v>
      </c>
      <c r="F93" s="44">
        <f>9551667.21+137328.45-10200+832777.5+251498.81+154799.4+46749.42</f>
        <v>10964620.790000001</v>
      </c>
      <c r="G93" s="28">
        <f>9551667.21</f>
        <v>9551667.2100000009</v>
      </c>
      <c r="H93" s="28">
        <f>9551667.21</f>
        <v>9551667.2100000009</v>
      </c>
    </row>
    <row r="94" spans="1:11" ht="31.5" x14ac:dyDescent="0.25">
      <c r="A94" s="56" t="s">
        <v>89</v>
      </c>
      <c r="B94" s="19" t="s">
        <v>85</v>
      </c>
      <c r="C94" s="27" t="s">
        <v>87</v>
      </c>
      <c r="D94" s="27" t="s">
        <v>88</v>
      </c>
      <c r="E94" s="27" t="s">
        <v>15</v>
      </c>
      <c r="F94" s="18">
        <f>357344.62-50000-63050</f>
        <v>244294.62</v>
      </c>
      <c r="G94" s="18">
        <v>367188.81</v>
      </c>
      <c r="H94" s="18">
        <v>380583.16</v>
      </c>
    </row>
    <row r="95" spans="1:11" ht="31.5" x14ac:dyDescent="0.25">
      <c r="A95" s="54" t="s">
        <v>90</v>
      </c>
      <c r="B95" s="24" t="s">
        <v>85</v>
      </c>
      <c r="C95" s="29" t="s">
        <v>87</v>
      </c>
      <c r="D95" s="27" t="s">
        <v>88</v>
      </c>
      <c r="E95" s="24" t="s">
        <v>17</v>
      </c>
      <c r="F95" s="25">
        <v>1000</v>
      </c>
      <c r="G95" s="25">
        <v>1000</v>
      </c>
      <c r="H95" s="25">
        <v>1000</v>
      </c>
    </row>
    <row r="96" spans="1:11" ht="78.75" x14ac:dyDescent="0.25">
      <c r="A96" s="54" t="s">
        <v>91</v>
      </c>
      <c r="B96" s="24" t="s">
        <v>85</v>
      </c>
      <c r="C96" s="29" t="s">
        <v>87</v>
      </c>
      <c r="D96" s="27" t="s">
        <v>92</v>
      </c>
      <c r="E96" s="24" t="s">
        <v>13</v>
      </c>
      <c r="F96" s="25">
        <f>118365.83+162329.81+368620</f>
        <v>649315.64</v>
      </c>
      <c r="G96" s="25">
        <v>0</v>
      </c>
      <c r="H96" s="25">
        <v>0</v>
      </c>
    </row>
    <row r="97" spans="1:8" ht="31.5" x14ac:dyDescent="0.25">
      <c r="A97" s="47" t="s">
        <v>93</v>
      </c>
      <c r="B97" s="21" t="s">
        <v>85</v>
      </c>
      <c r="C97" s="21" t="s">
        <v>87</v>
      </c>
      <c r="D97" s="21" t="s">
        <v>94</v>
      </c>
      <c r="E97" s="21" t="s">
        <v>15</v>
      </c>
      <c r="F97" s="18">
        <v>885000</v>
      </c>
      <c r="G97" s="18">
        <v>1017000</v>
      </c>
      <c r="H97" s="18">
        <v>1017000</v>
      </c>
    </row>
    <row r="98" spans="1:8" ht="31.5" x14ac:dyDescent="0.25">
      <c r="A98" s="47" t="s">
        <v>95</v>
      </c>
      <c r="B98" s="21" t="s">
        <v>85</v>
      </c>
      <c r="C98" s="29" t="s">
        <v>87</v>
      </c>
      <c r="D98" s="21" t="s">
        <v>96</v>
      </c>
      <c r="E98" s="21" t="s">
        <v>15</v>
      </c>
      <c r="F98" s="18">
        <v>45000</v>
      </c>
      <c r="G98" s="18">
        <v>50000</v>
      </c>
      <c r="H98" s="18">
        <v>50000</v>
      </c>
    </row>
    <row r="99" spans="1:8" ht="23.25" customHeight="1" x14ac:dyDescent="0.25">
      <c r="A99" s="47" t="s">
        <v>267</v>
      </c>
      <c r="B99" s="21" t="s">
        <v>85</v>
      </c>
      <c r="C99" s="29" t="s">
        <v>122</v>
      </c>
      <c r="D99" s="21" t="s">
        <v>175</v>
      </c>
      <c r="E99" s="21" t="s">
        <v>17</v>
      </c>
      <c r="F99" s="18">
        <f>2805000+51255-1353484</f>
        <v>1502771</v>
      </c>
      <c r="G99" s="18">
        <v>0</v>
      </c>
      <c r="H99" s="18">
        <v>0</v>
      </c>
    </row>
    <row r="100" spans="1:8" ht="47.25" x14ac:dyDescent="0.25">
      <c r="A100" s="47" t="s">
        <v>97</v>
      </c>
      <c r="B100" s="21" t="s">
        <v>85</v>
      </c>
      <c r="C100" s="29" t="s">
        <v>98</v>
      </c>
      <c r="D100" s="21" t="s">
        <v>99</v>
      </c>
      <c r="E100" s="21" t="s">
        <v>15</v>
      </c>
      <c r="F100" s="18">
        <f>74000-40500</f>
        <v>33500</v>
      </c>
      <c r="G100" s="18">
        <v>74000</v>
      </c>
      <c r="H100" s="18">
        <v>74000</v>
      </c>
    </row>
    <row r="101" spans="1:8" ht="15.75" x14ac:dyDescent="0.25">
      <c r="A101" s="45" t="s">
        <v>100</v>
      </c>
      <c r="B101" s="15" t="s">
        <v>101</v>
      </c>
      <c r="C101" s="15"/>
      <c r="D101" s="15"/>
      <c r="E101" s="15"/>
      <c r="F101" s="16">
        <f>SUM(F102:F105)</f>
        <v>1181981.17</v>
      </c>
      <c r="G101" s="16">
        <f>SUM(G102:G105)</f>
        <v>988693.5</v>
      </c>
      <c r="H101" s="16">
        <f>SUM(H102:H105)</f>
        <v>988693.5</v>
      </c>
    </row>
    <row r="102" spans="1:8" ht="78.75" x14ac:dyDescent="0.25">
      <c r="A102" s="54" t="s">
        <v>102</v>
      </c>
      <c r="B102" s="24" t="s">
        <v>101</v>
      </c>
      <c r="C102" s="24" t="s">
        <v>103</v>
      </c>
      <c r="D102" s="30" t="s">
        <v>104</v>
      </c>
      <c r="E102" s="24" t="s">
        <v>13</v>
      </c>
      <c r="F102" s="25">
        <v>79500.61</v>
      </c>
      <c r="G102" s="25">
        <v>0</v>
      </c>
      <c r="H102" s="25">
        <v>0</v>
      </c>
    </row>
    <row r="103" spans="1:8" ht="63" x14ac:dyDescent="0.25">
      <c r="A103" s="47" t="s">
        <v>105</v>
      </c>
      <c r="B103" s="21" t="s">
        <v>101</v>
      </c>
      <c r="C103" s="21" t="s">
        <v>103</v>
      </c>
      <c r="D103" s="31" t="s">
        <v>106</v>
      </c>
      <c r="E103" s="21" t="s">
        <v>13</v>
      </c>
      <c r="F103" s="18">
        <f>760693.5+10142.58+67188.75+20291+12415.31+3749.42</f>
        <v>874480.56</v>
      </c>
      <c r="G103" s="18">
        <v>760693.5</v>
      </c>
      <c r="H103" s="18">
        <v>760693.5</v>
      </c>
    </row>
    <row r="104" spans="1:8" ht="31.5" x14ac:dyDescent="0.25">
      <c r="A104" s="54" t="s">
        <v>213</v>
      </c>
      <c r="B104" s="24" t="s">
        <v>101</v>
      </c>
      <c r="C104" s="24" t="s">
        <v>103</v>
      </c>
      <c r="D104" s="30" t="s">
        <v>216</v>
      </c>
      <c r="E104" s="24" t="s">
        <v>17</v>
      </c>
      <c r="F104" s="25">
        <f>500-500</f>
        <v>0</v>
      </c>
      <c r="G104" s="25">
        <v>0</v>
      </c>
      <c r="H104" s="25">
        <v>0</v>
      </c>
    </row>
    <row r="105" spans="1:8" ht="63" x14ac:dyDescent="0.25">
      <c r="A105" s="54" t="s">
        <v>107</v>
      </c>
      <c r="B105" s="24" t="s">
        <v>101</v>
      </c>
      <c r="C105" s="24" t="s">
        <v>103</v>
      </c>
      <c r="D105" s="30" t="s">
        <v>108</v>
      </c>
      <c r="E105" s="24" t="s">
        <v>13</v>
      </c>
      <c r="F105" s="25">
        <v>228000</v>
      </c>
      <c r="G105" s="25">
        <v>228000</v>
      </c>
      <c r="H105" s="25">
        <v>228000</v>
      </c>
    </row>
    <row r="106" spans="1:8" ht="15.75" x14ac:dyDescent="0.25">
      <c r="A106" s="57" t="s">
        <v>109</v>
      </c>
      <c r="B106" s="32" t="s">
        <v>110</v>
      </c>
      <c r="C106" s="32"/>
      <c r="D106" s="32"/>
      <c r="E106" s="32"/>
      <c r="F106" s="33">
        <f>SUM(F107:F188)</f>
        <v>76298899.269999996</v>
      </c>
      <c r="G106" s="33">
        <f>SUM(G107:G188)</f>
        <v>53011757.949999996</v>
      </c>
      <c r="H106" s="33">
        <f>SUM(H107:H188)</f>
        <v>51388911.749999993</v>
      </c>
    </row>
    <row r="107" spans="1:8" ht="63" x14ac:dyDescent="0.25">
      <c r="A107" s="47" t="s">
        <v>111</v>
      </c>
      <c r="B107" s="21" t="s">
        <v>110</v>
      </c>
      <c r="C107" s="21" t="s">
        <v>112</v>
      </c>
      <c r="D107" s="31" t="s">
        <v>113</v>
      </c>
      <c r="E107" s="21" t="s">
        <v>13</v>
      </c>
      <c r="F107" s="18">
        <f>1718640+22785</f>
        <v>1741425</v>
      </c>
      <c r="G107" s="18">
        <v>1718640</v>
      </c>
      <c r="H107" s="18">
        <v>1817640</v>
      </c>
    </row>
    <row r="108" spans="1:8" ht="63" x14ac:dyDescent="0.25">
      <c r="A108" s="46" t="s">
        <v>311</v>
      </c>
      <c r="B108" s="19" t="s">
        <v>110</v>
      </c>
      <c r="C108" s="19" t="s">
        <v>112</v>
      </c>
      <c r="D108" s="34" t="s">
        <v>310</v>
      </c>
      <c r="E108" s="19" t="s">
        <v>13</v>
      </c>
      <c r="F108" s="35">
        <f>525000+158550</f>
        <v>683550</v>
      </c>
      <c r="G108" s="35">
        <v>0</v>
      </c>
      <c r="H108" s="35">
        <v>0</v>
      </c>
    </row>
    <row r="109" spans="1:8" ht="63" x14ac:dyDescent="0.25">
      <c r="A109" s="46" t="s">
        <v>86</v>
      </c>
      <c r="B109" s="19" t="s">
        <v>110</v>
      </c>
      <c r="C109" s="19" t="s">
        <v>114</v>
      </c>
      <c r="D109" s="19" t="s">
        <v>88</v>
      </c>
      <c r="E109" s="19" t="s">
        <v>13</v>
      </c>
      <c r="F109" s="35">
        <f>27436322.15+399695.77+2422663.38+731644.34+426936.9+128934.95-20142.73</f>
        <v>31526054.759999994</v>
      </c>
      <c r="G109" s="35">
        <v>27436322.149999999</v>
      </c>
      <c r="H109" s="35">
        <v>27436322.149999999</v>
      </c>
    </row>
    <row r="110" spans="1:8" ht="31.5" x14ac:dyDescent="0.25">
      <c r="A110" s="47" t="s">
        <v>89</v>
      </c>
      <c r="B110" s="21" t="s">
        <v>110</v>
      </c>
      <c r="C110" s="21" t="s">
        <v>114</v>
      </c>
      <c r="D110" s="19" t="s">
        <v>88</v>
      </c>
      <c r="E110" s="21" t="s">
        <v>15</v>
      </c>
      <c r="F110" s="18">
        <f>200000-50000+50000-12300</f>
        <v>187700</v>
      </c>
      <c r="G110" s="18">
        <v>0</v>
      </c>
      <c r="H110" s="18">
        <v>0</v>
      </c>
    </row>
    <row r="111" spans="1:8" ht="31.5" x14ac:dyDescent="0.25">
      <c r="A111" s="47" t="s">
        <v>90</v>
      </c>
      <c r="B111" s="21" t="s">
        <v>110</v>
      </c>
      <c r="C111" s="21" t="s">
        <v>114</v>
      </c>
      <c r="D111" s="19" t="s">
        <v>88</v>
      </c>
      <c r="E111" s="21" t="s">
        <v>17</v>
      </c>
      <c r="F111" s="18">
        <f>6050-3500+100000-36549</f>
        <v>66001</v>
      </c>
      <c r="G111" s="18">
        <v>0</v>
      </c>
      <c r="H111" s="18">
        <v>0</v>
      </c>
    </row>
    <row r="112" spans="1:8" ht="78.75" x14ac:dyDescent="0.25">
      <c r="A112" s="47" t="s">
        <v>91</v>
      </c>
      <c r="B112" s="21" t="s">
        <v>110</v>
      </c>
      <c r="C112" s="21" t="s">
        <v>114</v>
      </c>
      <c r="D112" s="19" t="s">
        <v>92</v>
      </c>
      <c r="E112" s="21" t="s">
        <v>13</v>
      </c>
      <c r="F112" s="18">
        <v>75524.98</v>
      </c>
      <c r="G112" s="18">
        <v>0</v>
      </c>
      <c r="H112" s="18">
        <v>0</v>
      </c>
    </row>
    <row r="113" spans="1:8" ht="78.75" x14ac:dyDescent="0.25">
      <c r="A113" s="47" t="s">
        <v>225</v>
      </c>
      <c r="B113" s="21" t="s">
        <v>110</v>
      </c>
      <c r="C113" s="21" t="s">
        <v>114</v>
      </c>
      <c r="D113" s="31" t="s">
        <v>115</v>
      </c>
      <c r="E113" s="21" t="s">
        <v>13</v>
      </c>
      <c r="F113" s="18">
        <f>470550.03+44196.64</f>
        <v>514746.67000000004</v>
      </c>
      <c r="G113" s="18">
        <v>411331</v>
      </c>
      <c r="H113" s="18">
        <v>411331</v>
      </c>
    </row>
    <row r="114" spans="1:8" ht="63" x14ac:dyDescent="0.25">
      <c r="A114" s="47" t="s">
        <v>234</v>
      </c>
      <c r="B114" s="21" t="s">
        <v>110</v>
      </c>
      <c r="C114" s="21" t="s">
        <v>116</v>
      </c>
      <c r="D114" s="31" t="s">
        <v>117</v>
      </c>
      <c r="E114" s="21" t="s">
        <v>15</v>
      </c>
      <c r="F114" s="18">
        <v>35345.31</v>
      </c>
      <c r="G114" s="18">
        <v>2108.94</v>
      </c>
      <c r="H114" s="18">
        <v>1893.75</v>
      </c>
    </row>
    <row r="115" spans="1:8" ht="31.5" x14ac:dyDescent="0.25">
      <c r="A115" s="47" t="s">
        <v>118</v>
      </c>
      <c r="B115" s="21" t="s">
        <v>110</v>
      </c>
      <c r="C115" s="21" t="s">
        <v>119</v>
      </c>
      <c r="D115" s="36" t="s">
        <v>120</v>
      </c>
      <c r="E115" s="21" t="s">
        <v>17</v>
      </c>
      <c r="F115" s="18">
        <f>500000-20000-143900-20000</f>
        <v>316100</v>
      </c>
      <c r="G115" s="18">
        <v>500000</v>
      </c>
      <c r="H115" s="18">
        <v>500000</v>
      </c>
    </row>
    <row r="116" spans="1:8" ht="47.25" x14ac:dyDescent="0.25">
      <c r="A116" s="47" t="s">
        <v>121</v>
      </c>
      <c r="B116" s="21" t="s">
        <v>110</v>
      </c>
      <c r="C116" s="21" t="s">
        <v>122</v>
      </c>
      <c r="D116" s="21" t="s">
        <v>123</v>
      </c>
      <c r="E116" s="21" t="s">
        <v>15</v>
      </c>
      <c r="F116" s="18">
        <f>50000-15000-18500</f>
        <v>16500</v>
      </c>
      <c r="G116" s="18">
        <v>50000</v>
      </c>
      <c r="H116" s="18">
        <v>50000</v>
      </c>
    </row>
    <row r="117" spans="1:8" ht="31.5" x14ac:dyDescent="0.25">
      <c r="A117" s="47" t="s">
        <v>124</v>
      </c>
      <c r="B117" s="21" t="s">
        <v>110</v>
      </c>
      <c r="C117" s="21" t="s">
        <v>122</v>
      </c>
      <c r="D117" s="21" t="s">
        <v>125</v>
      </c>
      <c r="E117" s="21" t="s">
        <v>15</v>
      </c>
      <c r="F117" s="18">
        <f>686000-46500-856</f>
        <v>638644</v>
      </c>
      <c r="G117" s="18">
        <v>686000</v>
      </c>
      <c r="H117" s="18">
        <v>686000</v>
      </c>
    </row>
    <row r="118" spans="1:8" ht="63" x14ac:dyDescent="0.25">
      <c r="A118" s="47" t="s">
        <v>126</v>
      </c>
      <c r="B118" s="21" t="s">
        <v>110</v>
      </c>
      <c r="C118" s="21" t="s">
        <v>122</v>
      </c>
      <c r="D118" s="21" t="s">
        <v>127</v>
      </c>
      <c r="E118" s="21" t="s">
        <v>15</v>
      </c>
      <c r="F118" s="18">
        <f>100000-48672</f>
        <v>51328</v>
      </c>
      <c r="G118" s="18">
        <v>100000</v>
      </c>
      <c r="H118" s="18">
        <v>100000</v>
      </c>
    </row>
    <row r="119" spans="1:8" ht="47.25" x14ac:dyDescent="0.25">
      <c r="A119" s="48" t="s">
        <v>128</v>
      </c>
      <c r="B119" s="21" t="s">
        <v>110</v>
      </c>
      <c r="C119" s="21" t="s">
        <v>122</v>
      </c>
      <c r="D119" s="21" t="s">
        <v>129</v>
      </c>
      <c r="E119" s="21" t="s">
        <v>15</v>
      </c>
      <c r="F119" s="37">
        <f>200000-1250-83693.37</f>
        <v>115056.63</v>
      </c>
      <c r="G119" s="37">
        <v>200000</v>
      </c>
      <c r="H119" s="37">
        <v>200000</v>
      </c>
    </row>
    <row r="120" spans="1:8" ht="47.25" x14ac:dyDescent="0.25">
      <c r="A120" s="47" t="s">
        <v>130</v>
      </c>
      <c r="B120" s="21" t="s">
        <v>110</v>
      </c>
      <c r="C120" s="21" t="s">
        <v>122</v>
      </c>
      <c r="D120" s="21" t="s">
        <v>131</v>
      </c>
      <c r="E120" s="21" t="s">
        <v>15</v>
      </c>
      <c r="F120" s="18">
        <v>64800.800000000003</v>
      </c>
      <c r="G120" s="18">
        <v>71280.899999999994</v>
      </c>
      <c r="H120" s="18">
        <v>71280.899999999994</v>
      </c>
    </row>
    <row r="121" spans="1:8" ht="31.5" x14ac:dyDescent="0.25">
      <c r="A121" s="46" t="s">
        <v>95</v>
      </c>
      <c r="B121" s="38" t="s">
        <v>110</v>
      </c>
      <c r="C121" s="38" t="s">
        <v>122</v>
      </c>
      <c r="D121" s="39" t="s">
        <v>96</v>
      </c>
      <c r="E121" s="38" t="s">
        <v>15</v>
      </c>
      <c r="F121" s="37">
        <v>140000</v>
      </c>
      <c r="G121" s="37">
        <v>155000</v>
      </c>
      <c r="H121" s="37">
        <v>155000</v>
      </c>
    </row>
    <row r="122" spans="1:8" ht="63" x14ac:dyDescent="0.25">
      <c r="A122" s="46" t="s">
        <v>132</v>
      </c>
      <c r="B122" s="38" t="s">
        <v>110</v>
      </c>
      <c r="C122" s="38" t="s">
        <v>122</v>
      </c>
      <c r="D122" s="39" t="s">
        <v>133</v>
      </c>
      <c r="E122" s="38" t="s">
        <v>15</v>
      </c>
      <c r="F122" s="37">
        <v>5000</v>
      </c>
      <c r="G122" s="37">
        <v>5000</v>
      </c>
      <c r="H122" s="37">
        <v>5000</v>
      </c>
    </row>
    <row r="123" spans="1:8" ht="47.25" x14ac:dyDescent="0.25">
      <c r="A123" s="46" t="s">
        <v>134</v>
      </c>
      <c r="B123" s="38" t="s">
        <v>110</v>
      </c>
      <c r="C123" s="38" t="s">
        <v>122</v>
      </c>
      <c r="D123" s="39" t="s">
        <v>135</v>
      </c>
      <c r="E123" s="38" t="s">
        <v>70</v>
      </c>
      <c r="F123" s="37">
        <v>800</v>
      </c>
      <c r="G123" s="37">
        <v>800</v>
      </c>
      <c r="H123" s="37">
        <v>800</v>
      </c>
    </row>
    <row r="124" spans="1:8" ht="31.5" x14ac:dyDescent="0.25">
      <c r="A124" s="46" t="s">
        <v>136</v>
      </c>
      <c r="B124" s="38" t="s">
        <v>110</v>
      </c>
      <c r="C124" s="38" t="s">
        <v>122</v>
      </c>
      <c r="D124" s="39" t="s">
        <v>137</v>
      </c>
      <c r="E124" s="38" t="s">
        <v>15</v>
      </c>
      <c r="F124" s="37">
        <v>15000</v>
      </c>
      <c r="G124" s="37">
        <v>15000</v>
      </c>
      <c r="H124" s="37">
        <v>15000</v>
      </c>
    </row>
    <row r="125" spans="1:8" ht="47.25" x14ac:dyDescent="0.25">
      <c r="A125" s="46" t="s">
        <v>238</v>
      </c>
      <c r="B125" s="38" t="s">
        <v>110</v>
      </c>
      <c r="C125" s="38" t="s">
        <v>122</v>
      </c>
      <c r="D125" s="39" t="s">
        <v>138</v>
      </c>
      <c r="E125" s="38" t="s">
        <v>15</v>
      </c>
      <c r="F125" s="37">
        <f>40000-40000</f>
        <v>0</v>
      </c>
      <c r="G125" s="37">
        <v>40000</v>
      </c>
      <c r="H125" s="37">
        <v>40000</v>
      </c>
    </row>
    <row r="126" spans="1:8" ht="31.5" x14ac:dyDescent="0.25">
      <c r="A126" s="46" t="s">
        <v>72</v>
      </c>
      <c r="B126" s="38" t="s">
        <v>110</v>
      </c>
      <c r="C126" s="38" t="s">
        <v>122</v>
      </c>
      <c r="D126" s="39" t="s">
        <v>139</v>
      </c>
      <c r="E126" s="38" t="s">
        <v>70</v>
      </c>
      <c r="F126" s="37">
        <f>44000+44000-58000</f>
        <v>30000</v>
      </c>
      <c r="G126" s="37">
        <v>88000</v>
      </c>
      <c r="H126" s="37">
        <v>88000</v>
      </c>
    </row>
    <row r="127" spans="1:8" ht="31.5" x14ac:dyDescent="0.25">
      <c r="A127" s="46" t="s">
        <v>140</v>
      </c>
      <c r="B127" s="38" t="s">
        <v>110</v>
      </c>
      <c r="C127" s="38" t="s">
        <v>122</v>
      </c>
      <c r="D127" s="39" t="s">
        <v>141</v>
      </c>
      <c r="E127" s="38" t="s">
        <v>15</v>
      </c>
      <c r="F127" s="37">
        <v>0</v>
      </c>
      <c r="G127" s="37">
        <v>50000</v>
      </c>
      <c r="H127" s="37">
        <v>50000</v>
      </c>
    </row>
    <row r="128" spans="1:8" ht="47.25" x14ac:dyDescent="0.25">
      <c r="A128" s="58" t="s">
        <v>142</v>
      </c>
      <c r="B128" s="21" t="s">
        <v>110</v>
      </c>
      <c r="C128" s="21" t="s">
        <v>122</v>
      </c>
      <c r="D128" s="21" t="s">
        <v>143</v>
      </c>
      <c r="E128" s="21" t="s">
        <v>15</v>
      </c>
      <c r="F128" s="18">
        <f>3000-3000</f>
        <v>0</v>
      </c>
      <c r="G128" s="18">
        <v>3000</v>
      </c>
      <c r="H128" s="18">
        <v>3000</v>
      </c>
    </row>
    <row r="129" spans="1:8" ht="31.5" x14ac:dyDescent="0.25">
      <c r="A129" s="58" t="s">
        <v>245</v>
      </c>
      <c r="B129" s="21" t="s">
        <v>110</v>
      </c>
      <c r="C129" s="21" t="s">
        <v>122</v>
      </c>
      <c r="D129" s="21" t="s">
        <v>243</v>
      </c>
      <c r="E129" s="21" t="s">
        <v>15</v>
      </c>
      <c r="F129" s="18">
        <f>150000-31875-118125</f>
        <v>0</v>
      </c>
      <c r="G129" s="18">
        <v>150000</v>
      </c>
      <c r="H129" s="18">
        <v>150000</v>
      </c>
    </row>
    <row r="130" spans="1:8" ht="52.5" customHeight="1" x14ac:dyDescent="0.25">
      <c r="A130" s="61" t="s">
        <v>279</v>
      </c>
      <c r="B130" s="38" t="s">
        <v>110</v>
      </c>
      <c r="C130" s="38" t="s">
        <v>122</v>
      </c>
      <c r="D130" s="39" t="s">
        <v>280</v>
      </c>
      <c r="E130" s="38" t="s">
        <v>15</v>
      </c>
      <c r="F130" s="37">
        <f>605625+31875-542806.25-28568.75</f>
        <v>66125</v>
      </c>
      <c r="G130" s="37">
        <v>0</v>
      </c>
      <c r="H130" s="37">
        <v>0</v>
      </c>
    </row>
    <row r="131" spans="1:8" ht="47.25" x14ac:dyDescent="0.25">
      <c r="A131" s="58" t="s">
        <v>248</v>
      </c>
      <c r="B131" s="21" t="s">
        <v>110</v>
      </c>
      <c r="C131" s="21" t="s">
        <v>122</v>
      </c>
      <c r="D131" s="21" t="s">
        <v>246</v>
      </c>
      <c r="E131" s="21" t="s">
        <v>15</v>
      </c>
      <c r="F131" s="18">
        <f>130000-130000</f>
        <v>0</v>
      </c>
      <c r="G131" s="18">
        <v>130000</v>
      </c>
      <c r="H131" s="18">
        <v>130000</v>
      </c>
    </row>
    <row r="132" spans="1:8" ht="31.5" x14ac:dyDescent="0.25">
      <c r="A132" s="58" t="s">
        <v>249</v>
      </c>
      <c r="B132" s="21" t="s">
        <v>110</v>
      </c>
      <c r="C132" s="21" t="s">
        <v>122</v>
      </c>
      <c r="D132" s="21" t="s">
        <v>247</v>
      </c>
      <c r="E132" s="21" t="s">
        <v>15</v>
      </c>
      <c r="F132" s="18">
        <f>20000-20000</f>
        <v>0</v>
      </c>
      <c r="G132" s="18">
        <v>20000</v>
      </c>
      <c r="H132" s="18">
        <v>20000</v>
      </c>
    </row>
    <row r="133" spans="1:8" ht="20.25" customHeight="1" x14ac:dyDescent="0.25">
      <c r="A133" s="58" t="s">
        <v>267</v>
      </c>
      <c r="B133" s="21" t="s">
        <v>110</v>
      </c>
      <c r="C133" s="21" t="s">
        <v>122</v>
      </c>
      <c r="D133" s="21" t="s">
        <v>175</v>
      </c>
      <c r="E133" s="21" t="s">
        <v>17</v>
      </c>
      <c r="F133" s="18">
        <f>1074291.24+136545.83+50700+43500+73000+15000-93768</f>
        <v>1299269.07</v>
      </c>
      <c r="G133" s="18">
        <v>0</v>
      </c>
      <c r="H133" s="18">
        <v>0</v>
      </c>
    </row>
    <row r="134" spans="1:8" ht="31.5" x14ac:dyDescent="0.25">
      <c r="A134" s="47" t="s">
        <v>214</v>
      </c>
      <c r="B134" s="21" t="s">
        <v>110</v>
      </c>
      <c r="C134" s="21" t="s">
        <v>122</v>
      </c>
      <c r="D134" s="21" t="s">
        <v>144</v>
      </c>
      <c r="E134" s="21" t="s">
        <v>70</v>
      </c>
      <c r="F134" s="18">
        <v>37500</v>
      </c>
      <c r="G134" s="18">
        <v>37500</v>
      </c>
      <c r="H134" s="18">
        <v>37500</v>
      </c>
    </row>
    <row r="135" spans="1:8" ht="47.25" x14ac:dyDescent="0.25">
      <c r="A135" s="47" t="s">
        <v>265</v>
      </c>
      <c r="B135" s="21" t="s">
        <v>110</v>
      </c>
      <c r="C135" s="21" t="s">
        <v>122</v>
      </c>
      <c r="D135" s="21" t="s">
        <v>145</v>
      </c>
      <c r="E135" s="21" t="s">
        <v>15</v>
      </c>
      <c r="F135" s="18">
        <v>11547</v>
      </c>
      <c r="G135" s="18">
        <v>11669</v>
      </c>
      <c r="H135" s="18">
        <v>11669</v>
      </c>
    </row>
    <row r="136" spans="1:8" ht="31.5" x14ac:dyDescent="0.25">
      <c r="A136" s="47" t="s">
        <v>273</v>
      </c>
      <c r="B136" s="21" t="s">
        <v>110</v>
      </c>
      <c r="C136" s="21" t="s">
        <v>122</v>
      </c>
      <c r="D136" s="21" t="s">
        <v>146</v>
      </c>
      <c r="E136" s="21" t="s">
        <v>17</v>
      </c>
      <c r="F136" s="18">
        <f>58345+10937</f>
        <v>69282</v>
      </c>
      <c r="G136" s="18">
        <v>0</v>
      </c>
      <c r="H136" s="18">
        <v>0</v>
      </c>
    </row>
    <row r="137" spans="1:8" ht="47.25" x14ac:dyDescent="0.25">
      <c r="A137" s="47" t="s">
        <v>147</v>
      </c>
      <c r="B137" s="21" t="s">
        <v>110</v>
      </c>
      <c r="C137" s="21" t="s">
        <v>148</v>
      </c>
      <c r="D137" s="21" t="s">
        <v>149</v>
      </c>
      <c r="E137" s="21" t="s">
        <v>15</v>
      </c>
      <c r="F137" s="18">
        <f>100000-30000-46000</f>
        <v>24000</v>
      </c>
      <c r="G137" s="18">
        <v>100000</v>
      </c>
      <c r="H137" s="18">
        <v>100000</v>
      </c>
    </row>
    <row r="138" spans="1:8" ht="63" x14ac:dyDescent="0.25">
      <c r="A138" s="47" t="s">
        <v>244</v>
      </c>
      <c r="B138" s="21" t="s">
        <v>110</v>
      </c>
      <c r="C138" s="21" t="s">
        <v>148</v>
      </c>
      <c r="D138" s="21" t="s">
        <v>242</v>
      </c>
      <c r="E138" s="21" t="s">
        <v>15</v>
      </c>
      <c r="F138" s="18">
        <v>10000</v>
      </c>
      <c r="G138" s="18">
        <v>11000</v>
      </c>
      <c r="H138" s="18">
        <v>12000</v>
      </c>
    </row>
    <row r="139" spans="1:8" ht="47.25" x14ac:dyDescent="0.25">
      <c r="A139" s="47" t="s">
        <v>278</v>
      </c>
      <c r="B139" s="21" t="s">
        <v>110</v>
      </c>
      <c r="C139" s="21" t="s">
        <v>150</v>
      </c>
      <c r="D139" s="21" t="s">
        <v>281</v>
      </c>
      <c r="E139" s="21" t="s">
        <v>15</v>
      </c>
      <c r="F139" s="18">
        <f>23750+1250</f>
        <v>25000</v>
      </c>
      <c r="G139" s="18">
        <v>0</v>
      </c>
      <c r="H139" s="18">
        <v>0</v>
      </c>
    </row>
    <row r="140" spans="1:8" ht="63" x14ac:dyDescent="0.25">
      <c r="A140" s="47" t="s">
        <v>151</v>
      </c>
      <c r="B140" s="21" t="s">
        <v>110</v>
      </c>
      <c r="C140" s="21" t="s">
        <v>150</v>
      </c>
      <c r="D140" s="21" t="s">
        <v>152</v>
      </c>
      <c r="E140" s="21" t="s">
        <v>15</v>
      </c>
      <c r="F140" s="18">
        <f>66392.85+186607.15</f>
        <v>253000</v>
      </c>
      <c r="G140" s="18">
        <v>24245.25</v>
      </c>
      <c r="H140" s="18">
        <v>24245.25</v>
      </c>
    </row>
    <row r="141" spans="1:8" ht="47.25" x14ac:dyDescent="0.25">
      <c r="A141" s="46" t="s">
        <v>153</v>
      </c>
      <c r="B141" s="39" t="s">
        <v>110</v>
      </c>
      <c r="C141" s="39" t="s">
        <v>150</v>
      </c>
      <c r="D141" s="39" t="s">
        <v>154</v>
      </c>
      <c r="E141" s="39" t="s">
        <v>15</v>
      </c>
      <c r="F141" s="40">
        <f>30000-30000+30000</f>
        <v>30000</v>
      </c>
      <c r="G141" s="40">
        <v>30000</v>
      </c>
      <c r="H141" s="40">
        <v>30000</v>
      </c>
    </row>
    <row r="142" spans="1:8" ht="31.5" x14ac:dyDescent="0.25">
      <c r="A142" s="47" t="s">
        <v>155</v>
      </c>
      <c r="B142" s="39" t="s">
        <v>110</v>
      </c>
      <c r="C142" s="39" t="s">
        <v>156</v>
      </c>
      <c r="D142" s="21" t="s">
        <v>157</v>
      </c>
      <c r="E142" s="39" t="s">
        <v>17</v>
      </c>
      <c r="F142" s="40">
        <f>243000</f>
        <v>243000</v>
      </c>
      <c r="G142" s="40">
        <v>200000</v>
      </c>
      <c r="H142" s="40">
        <v>200000</v>
      </c>
    </row>
    <row r="143" spans="1:8" ht="31.5" x14ac:dyDescent="0.25">
      <c r="A143" s="46" t="s">
        <v>229</v>
      </c>
      <c r="B143" s="39" t="s">
        <v>110</v>
      </c>
      <c r="C143" s="39" t="s">
        <v>156</v>
      </c>
      <c r="D143" s="39" t="s">
        <v>158</v>
      </c>
      <c r="E143" s="39" t="s">
        <v>17</v>
      </c>
      <c r="F143" s="40">
        <f>1364603.54+71821.24-35274.9</f>
        <v>1401149.8800000001</v>
      </c>
      <c r="G143" s="40">
        <f>1384375.62+72861.87</f>
        <v>1457237.4900000002</v>
      </c>
      <c r="H143" s="40">
        <f>1405097.35+73952.49</f>
        <v>1479049.84</v>
      </c>
    </row>
    <row r="144" spans="1:8" ht="141.75" x14ac:dyDescent="0.25">
      <c r="A144" s="46" t="s">
        <v>167</v>
      </c>
      <c r="B144" s="39" t="s">
        <v>110</v>
      </c>
      <c r="C144" s="39" t="s">
        <v>160</v>
      </c>
      <c r="D144" s="39" t="s">
        <v>168</v>
      </c>
      <c r="E144" s="39" t="s">
        <v>15</v>
      </c>
      <c r="F144" s="40">
        <f>2715515.72-2715515.72</f>
        <v>0</v>
      </c>
      <c r="G144" s="40">
        <v>2715515.72</v>
      </c>
      <c r="H144" s="40">
        <v>2715515.72</v>
      </c>
    </row>
    <row r="145" spans="1:8" ht="141.75" x14ac:dyDescent="0.25">
      <c r="A145" s="46" t="s">
        <v>169</v>
      </c>
      <c r="B145" s="39" t="s">
        <v>110</v>
      </c>
      <c r="C145" s="39" t="s">
        <v>160</v>
      </c>
      <c r="D145" s="39" t="s">
        <v>168</v>
      </c>
      <c r="E145" s="39" t="s">
        <v>170</v>
      </c>
      <c r="F145" s="40">
        <f>2715515.72+1184.69+108454.8+106852+60000+38400+288800</f>
        <v>3319207.21</v>
      </c>
      <c r="G145" s="40">
        <v>0</v>
      </c>
      <c r="H145" s="40">
        <v>0</v>
      </c>
    </row>
    <row r="146" spans="1:8" ht="141.75" x14ac:dyDescent="0.25">
      <c r="A146" s="46" t="s">
        <v>171</v>
      </c>
      <c r="B146" s="39" t="s">
        <v>110</v>
      </c>
      <c r="C146" s="39" t="s">
        <v>160</v>
      </c>
      <c r="D146" s="39" t="s">
        <v>172</v>
      </c>
      <c r="E146" s="39" t="s">
        <v>15</v>
      </c>
      <c r="F146" s="40">
        <f>1472278.57-1472278.57+161600</f>
        <v>161600</v>
      </c>
      <c r="G146" s="40">
        <v>1472278.57</v>
      </c>
      <c r="H146" s="40">
        <v>1472278.57</v>
      </c>
    </row>
    <row r="147" spans="1:8" ht="126" x14ac:dyDescent="0.25">
      <c r="A147" s="46" t="s">
        <v>173</v>
      </c>
      <c r="B147" s="39" t="s">
        <v>110</v>
      </c>
      <c r="C147" s="39" t="s">
        <v>160</v>
      </c>
      <c r="D147" s="39" t="s">
        <v>172</v>
      </c>
      <c r="E147" s="39" t="s">
        <v>170</v>
      </c>
      <c r="F147" s="40">
        <f>1472278.57+863.86+20000+11600</f>
        <v>1504742.4300000002</v>
      </c>
      <c r="G147" s="40">
        <v>0</v>
      </c>
      <c r="H147" s="40">
        <v>0</v>
      </c>
    </row>
    <row r="148" spans="1:8" ht="47.25" x14ac:dyDescent="0.25">
      <c r="A148" s="46" t="s">
        <v>159</v>
      </c>
      <c r="B148" s="39" t="s">
        <v>110</v>
      </c>
      <c r="C148" s="39" t="s">
        <v>160</v>
      </c>
      <c r="D148" s="39" t="s">
        <v>161</v>
      </c>
      <c r="E148" s="39" t="s">
        <v>15</v>
      </c>
      <c r="F148" s="40">
        <f>48000-36000+36000+93768+31140</f>
        <v>172908</v>
      </c>
      <c r="G148" s="40">
        <v>12000</v>
      </c>
      <c r="H148" s="40">
        <v>12000</v>
      </c>
    </row>
    <row r="149" spans="1:8" ht="31.5" x14ac:dyDescent="0.25">
      <c r="A149" s="47" t="s">
        <v>162</v>
      </c>
      <c r="B149" s="39" t="s">
        <v>110</v>
      </c>
      <c r="C149" s="39" t="s">
        <v>160</v>
      </c>
      <c r="D149" s="39" t="s">
        <v>163</v>
      </c>
      <c r="E149" s="39" t="s">
        <v>15</v>
      </c>
      <c r="F149" s="40">
        <f>108093.41-21503.99-39121.31+42192.37-6955-28497.88-5586</f>
        <v>48621.600000000006</v>
      </c>
      <c r="G149" s="40">
        <f>21504-12478.88+3028.55</f>
        <v>12053.670000000002</v>
      </c>
      <c r="H149" s="40">
        <f>21504-12478.88+5307.25</f>
        <v>14332.37</v>
      </c>
    </row>
    <row r="150" spans="1:8" ht="31.5" x14ac:dyDescent="0.25">
      <c r="A150" s="47" t="s">
        <v>301</v>
      </c>
      <c r="B150" s="63" t="s">
        <v>110</v>
      </c>
      <c r="C150" s="63" t="s">
        <v>160</v>
      </c>
      <c r="D150" s="63" t="s">
        <v>302</v>
      </c>
      <c r="E150" s="63" t="s">
        <v>15</v>
      </c>
      <c r="F150" s="37">
        <f>178880+6456.41+52663.59</f>
        <v>238000</v>
      </c>
      <c r="G150" s="37">
        <v>0</v>
      </c>
      <c r="H150" s="37">
        <v>0</v>
      </c>
    </row>
    <row r="151" spans="1:8" ht="31.5" x14ac:dyDescent="0.25">
      <c r="A151" s="46" t="s">
        <v>164</v>
      </c>
      <c r="B151" s="21" t="s">
        <v>110</v>
      </c>
      <c r="C151" s="21" t="s">
        <v>160</v>
      </c>
      <c r="D151" s="34" t="s">
        <v>165</v>
      </c>
      <c r="E151" s="39" t="s">
        <v>15</v>
      </c>
      <c r="F151" s="40">
        <f>712980.57-712980.57+143507.63-127329.51-16178.12</f>
        <v>0</v>
      </c>
      <c r="G151" s="40">
        <f>1004859.56+168807.73+45194.42-797126.99+141521.45-563256.17</f>
        <v>0</v>
      </c>
      <c r="H151" s="40">
        <f>1004859.56+168807.73+45194.42-797126.99+248002.75</f>
        <v>669737.47</v>
      </c>
    </row>
    <row r="152" spans="1:8" ht="88.5" customHeight="1" x14ac:dyDescent="0.25">
      <c r="A152" s="47" t="s">
        <v>272</v>
      </c>
      <c r="B152" s="19" t="s">
        <v>110</v>
      </c>
      <c r="C152" s="19" t="s">
        <v>160</v>
      </c>
      <c r="D152" s="34" t="s">
        <v>166</v>
      </c>
      <c r="E152" s="39" t="s">
        <v>15</v>
      </c>
      <c r="F152" s="40">
        <f>3843922.76+202311.73+127329.51+44676</f>
        <v>4218240</v>
      </c>
      <c r="G152" s="40">
        <v>337505.1</v>
      </c>
      <c r="H152" s="40">
        <v>0</v>
      </c>
    </row>
    <row r="153" spans="1:8" ht="51" customHeight="1" x14ac:dyDescent="0.25">
      <c r="A153" s="46" t="s">
        <v>307</v>
      </c>
      <c r="B153" s="19" t="s">
        <v>110</v>
      </c>
      <c r="C153" s="19" t="s">
        <v>160</v>
      </c>
      <c r="D153" s="34" t="s">
        <v>306</v>
      </c>
      <c r="E153" s="39" t="s">
        <v>15</v>
      </c>
      <c r="F153" s="40">
        <v>0</v>
      </c>
      <c r="G153" s="40">
        <f>225751.07+1939443.93</f>
        <v>2165195</v>
      </c>
      <c r="H153" s="40">
        <v>0</v>
      </c>
    </row>
    <row r="154" spans="1:8" ht="67.5" customHeight="1" x14ac:dyDescent="0.25">
      <c r="A154" s="46" t="s">
        <v>286</v>
      </c>
      <c r="B154" s="19" t="s">
        <v>110</v>
      </c>
      <c r="C154" s="19" t="s">
        <v>160</v>
      </c>
      <c r="D154" s="34" t="s">
        <v>285</v>
      </c>
      <c r="E154" s="39" t="s">
        <v>15</v>
      </c>
      <c r="F154" s="40">
        <f>2869000+151000-3020000</f>
        <v>0</v>
      </c>
      <c r="G154" s="40">
        <v>0</v>
      </c>
      <c r="H154" s="40">
        <v>0</v>
      </c>
    </row>
    <row r="155" spans="1:8" ht="85.5" customHeight="1" x14ac:dyDescent="0.25">
      <c r="A155" s="46" t="s">
        <v>318</v>
      </c>
      <c r="B155" s="19" t="s">
        <v>110</v>
      </c>
      <c r="C155" s="19" t="s">
        <v>160</v>
      </c>
      <c r="D155" s="34" t="s">
        <v>285</v>
      </c>
      <c r="E155" s="39" t="s">
        <v>208</v>
      </c>
      <c r="F155" s="40">
        <f>2869000+151000</f>
        <v>3020000</v>
      </c>
      <c r="G155" s="40">
        <v>0</v>
      </c>
      <c r="H155" s="40">
        <v>0</v>
      </c>
    </row>
    <row r="156" spans="1:8" ht="36" customHeight="1" x14ac:dyDescent="0.25">
      <c r="A156" s="46" t="s">
        <v>239</v>
      </c>
      <c r="B156" s="19" t="s">
        <v>110</v>
      </c>
      <c r="C156" s="19" t="s">
        <v>160</v>
      </c>
      <c r="D156" s="34" t="s">
        <v>251</v>
      </c>
      <c r="E156" s="39" t="s">
        <v>15</v>
      </c>
      <c r="F156" s="40">
        <f>709605.87+1001772.64</f>
        <v>1711378.51</v>
      </c>
      <c r="G156" s="40">
        <f>709605.87</f>
        <v>709605.87</v>
      </c>
      <c r="H156" s="40">
        <f>709605.87</f>
        <v>709605.87</v>
      </c>
    </row>
    <row r="157" spans="1:8" ht="23.25" customHeight="1" x14ac:dyDescent="0.25">
      <c r="A157" s="47" t="s">
        <v>277</v>
      </c>
      <c r="B157" s="21" t="s">
        <v>110</v>
      </c>
      <c r="C157" s="21" t="s">
        <v>160</v>
      </c>
      <c r="D157" s="21" t="s">
        <v>194</v>
      </c>
      <c r="E157" s="21" t="s">
        <v>170</v>
      </c>
      <c r="F157" s="18">
        <f>300000-184826.6</f>
        <v>115173.4</v>
      </c>
      <c r="G157" s="18">
        <v>0</v>
      </c>
      <c r="H157" s="18">
        <v>0</v>
      </c>
    </row>
    <row r="158" spans="1:8" ht="31.5" x14ac:dyDescent="0.25">
      <c r="A158" s="46" t="s">
        <v>215</v>
      </c>
      <c r="B158" s="39" t="s">
        <v>110</v>
      </c>
      <c r="C158" s="39" t="s">
        <v>174</v>
      </c>
      <c r="D158" s="39" t="s">
        <v>175</v>
      </c>
      <c r="E158" s="39" t="s">
        <v>15</v>
      </c>
      <c r="F158" s="40">
        <f>220000.37+9805.34</f>
        <v>229805.71</v>
      </c>
      <c r="G158" s="40">
        <v>220000.37</v>
      </c>
      <c r="H158" s="40">
        <v>220000.37</v>
      </c>
    </row>
    <row r="159" spans="1:8" ht="110.25" x14ac:dyDescent="0.25">
      <c r="A159" s="47" t="s">
        <v>176</v>
      </c>
      <c r="B159" s="39" t="s">
        <v>110</v>
      </c>
      <c r="C159" s="39" t="s">
        <v>177</v>
      </c>
      <c r="D159" s="39" t="s">
        <v>178</v>
      </c>
      <c r="E159" s="39" t="s">
        <v>15</v>
      </c>
      <c r="F159" s="40">
        <f>20647.68+12033.19+636025+63960.57+46000+2934.38+46500+856</f>
        <v>828956.82</v>
      </c>
      <c r="G159" s="40">
        <f>252000-231352.32</f>
        <v>20647.679999999993</v>
      </c>
      <c r="H159" s="40">
        <f>252000-231352.32</f>
        <v>20647.679999999993</v>
      </c>
    </row>
    <row r="160" spans="1:8" ht="31.5" x14ac:dyDescent="0.25">
      <c r="A160" s="47" t="s">
        <v>235</v>
      </c>
      <c r="B160" s="39" t="s">
        <v>110</v>
      </c>
      <c r="C160" s="39" t="s">
        <v>179</v>
      </c>
      <c r="D160" s="39" t="s">
        <v>180</v>
      </c>
      <c r="E160" s="39" t="s">
        <v>15</v>
      </c>
      <c r="F160" s="40">
        <f>209000-1045</f>
        <v>207955</v>
      </c>
      <c r="G160" s="40">
        <v>209000</v>
      </c>
      <c r="H160" s="40">
        <v>209000</v>
      </c>
    </row>
    <row r="161" spans="1:9" ht="78.75" x14ac:dyDescent="0.25">
      <c r="A161" s="48" t="s">
        <v>181</v>
      </c>
      <c r="B161" s="39" t="s">
        <v>110</v>
      </c>
      <c r="C161" s="39" t="s">
        <v>179</v>
      </c>
      <c r="D161" s="39" t="s">
        <v>182</v>
      </c>
      <c r="E161" s="39" t="s">
        <v>15</v>
      </c>
      <c r="F161" s="40">
        <f>222700-222700</f>
        <v>0</v>
      </c>
      <c r="G161" s="40">
        <v>222700</v>
      </c>
      <c r="H161" s="40">
        <v>222700</v>
      </c>
    </row>
    <row r="162" spans="1:9" ht="63" x14ac:dyDescent="0.25">
      <c r="A162" s="48" t="s">
        <v>183</v>
      </c>
      <c r="B162" s="39" t="s">
        <v>110</v>
      </c>
      <c r="C162" s="39" t="s">
        <v>179</v>
      </c>
      <c r="D162" s="39" t="s">
        <v>182</v>
      </c>
      <c r="E162" s="39" t="s">
        <v>170</v>
      </c>
      <c r="F162" s="40">
        <f>222700+65227.27+20000+112123.4</f>
        <v>420050.67000000004</v>
      </c>
      <c r="G162" s="40">
        <v>0</v>
      </c>
      <c r="H162" s="40">
        <v>0</v>
      </c>
    </row>
    <row r="163" spans="1:9" ht="78.75" x14ac:dyDescent="0.25">
      <c r="A163" s="48" t="s">
        <v>257</v>
      </c>
      <c r="B163" s="39" t="s">
        <v>110</v>
      </c>
      <c r="C163" s="39" t="s">
        <v>179</v>
      </c>
      <c r="D163" s="39" t="s">
        <v>185</v>
      </c>
      <c r="E163" s="39" t="s">
        <v>15</v>
      </c>
      <c r="F163" s="40">
        <f>60000-60000</f>
        <v>0</v>
      </c>
      <c r="G163" s="40">
        <v>60000</v>
      </c>
      <c r="H163" s="40">
        <v>60000</v>
      </c>
    </row>
    <row r="164" spans="1:9" ht="63" x14ac:dyDescent="0.25">
      <c r="A164" s="48" t="s">
        <v>184</v>
      </c>
      <c r="B164" s="39" t="s">
        <v>110</v>
      </c>
      <c r="C164" s="39" t="s">
        <v>179</v>
      </c>
      <c r="D164" s="39" t="s">
        <v>185</v>
      </c>
      <c r="E164" s="39" t="s">
        <v>170</v>
      </c>
      <c r="F164" s="40">
        <v>60000</v>
      </c>
      <c r="G164" s="40">
        <v>0</v>
      </c>
      <c r="H164" s="40">
        <v>0</v>
      </c>
    </row>
    <row r="165" spans="1:9" ht="42" customHeight="1" x14ac:dyDescent="0.25">
      <c r="A165" s="48" t="s">
        <v>275</v>
      </c>
      <c r="B165" s="39" t="s">
        <v>110</v>
      </c>
      <c r="C165" s="39" t="s">
        <v>179</v>
      </c>
      <c r="D165" s="39" t="s">
        <v>274</v>
      </c>
      <c r="E165" s="39" t="s">
        <v>15</v>
      </c>
      <c r="F165" s="40">
        <v>28687.38</v>
      </c>
      <c r="G165" s="40">
        <v>0</v>
      </c>
      <c r="H165" s="40">
        <v>0</v>
      </c>
    </row>
    <row r="166" spans="1:9" ht="67.5" customHeight="1" x14ac:dyDescent="0.25">
      <c r="A166" s="46" t="s">
        <v>286</v>
      </c>
      <c r="B166" s="19" t="s">
        <v>110</v>
      </c>
      <c r="C166" s="19" t="s">
        <v>179</v>
      </c>
      <c r="D166" s="34" t="s">
        <v>287</v>
      </c>
      <c r="E166" s="39" t="s">
        <v>15</v>
      </c>
      <c r="F166" s="40">
        <f>3667000+193000-3860000</f>
        <v>0</v>
      </c>
      <c r="G166" s="40">
        <v>0</v>
      </c>
      <c r="H166" s="40">
        <v>0</v>
      </c>
    </row>
    <row r="167" spans="1:9" ht="84.75" customHeight="1" x14ac:dyDescent="0.25">
      <c r="A167" s="46" t="s">
        <v>318</v>
      </c>
      <c r="B167" s="19" t="s">
        <v>110</v>
      </c>
      <c r="C167" s="19" t="s">
        <v>179</v>
      </c>
      <c r="D167" s="34" t="s">
        <v>287</v>
      </c>
      <c r="E167" s="39" t="s">
        <v>208</v>
      </c>
      <c r="F167" s="40">
        <f>3667000+193000</f>
        <v>3860000</v>
      </c>
      <c r="G167" s="40">
        <v>0</v>
      </c>
      <c r="H167" s="40">
        <v>0</v>
      </c>
    </row>
    <row r="168" spans="1:9" ht="31.5" x14ac:dyDescent="0.25">
      <c r="A168" s="46" t="s">
        <v>290</v>
      </c>
      <c r="B168" s="19" t="s">
        <v>110</v>
      </c>
      <c r="C168" s="19" t="s">
        <v>179</v>
      </c>
      <c r="D168" s="34" t="s">
        <v>289</v>
      </c>
      <c r="E168" s="39" t="s">
        <v>17</v>
      </c>
      <c r="F168" s="40">
        <v>326863.84999999998</v>
      </c>
      <c r="G168" s="40">
        <v>0</v>
      </c>
      <c r="H168" s="40">
        <v>0</v>
      </c>
    </row>
    <row r="169" spans="1:9" ht="23.25" customHeight="1" x14ac:dyDescent="0.25">
      <c r="A169" s="47" t="s">
        <v>277</v>
      </c>
      <c r="B169" s="21" t="s">
        <v>110</v>
      </c>
      <c r="C169" s="21" t="s">
        <v>179</v>
      </c>
      <c r="D169" s="21" t="s">
        <v>194</v>
      </c>
      <c r="E169" s="21" t="s">
        <v>170</v>
      </c>
      <c r="F169" s="18">
        <v>150000</v>
      </c>
      <c r="G169" s="18">
        <v>0</v>
      </c>
      <c r="H169" s="18">
        <v>0</v>
      </c>
    </row>
    <row r="170" spans="1:9" ht="63" x14ac:dyDescent="0.25">
      <c r="A170" s="47" t="s">
        <v>186</v>
      </c>
      <c r="B170" s="39" t="s">
        <v>110</v>
      </c>
      <c r="C170" s="39" t="s">
        <v>187</v>
      </c>
      <c r="D170" s="38" t="s">
        <v>188</v>
      </c>
      <c r="E170" s="39" t="s">
        <v>17</v>
      </c>
      <c r="F170" s="40">
        <v>102970</v>
      </c>
      <c r="G170" s="40">
        <v>102970</v>
      </c>
      <c r="H170" s="40">
        <v>102970</v>
      </c>
    </row>
    <row r="171" spans="1:9" ht="31.5" x14ac:dyDescent="0.25">
      <c r="A171" s="59" t="s">
        <v>228</v>
      </c>
      <c r="B171" s="39" t="s">
        <v>110</v>
      </c>
      <c r="C171" s="39" t="s">
        <v>187</v>
      </c>
      <c r="D171" s="39" t="s">
        <v>227</v>
      </c>
      <c r="E171" s="39" t="s">
        <v>15</v>
      </c>
      <c r="F171" s="40">
        <f>336000-193000-143000+336000-870.41</f>
        <v>335129.59000000003</v>
      </c>
      <c r="G171" s="40">
        <v>336000</v>
      </c>
      <c r="H171" s="40">
        <v>336000</v>
      </c>
    </row>
    <row r="172" spans="1:9" ht="47.25" x14ac:dyDescent="0.25">
      <c r="A172" s="59" t="s">
        <v>189</v>
      </c>
      <c r="B172" s="39" t="s">
        <v>110</v>
      </c>
      <c r="C172" s="39" t="s">
        <v>187</v>
      </c>
      <c r="D172" s="39" t="s">
        <v>190</v>
      </c>
      <c r="E172" s="39" t="s">
        <v>15</v>
      </c>
      <c r="F172" s="40">
        <f>170000-170000</f>
        <v>0</v>
      </c>
      <c r="G172" s="40">
        <v>170000</v>
      </c>
      <c r="H172" s="40">
        <v>170000</v>
      </c>
    </row>
    <row r="173" spans="1:9" ht="31.5" x14ac:dyDescent="0.25">
      <c r="A173" s="58" t="s">
        <v>276</v>
      </c>
      <c r="B173" s="38" t="s">
        <v>110</v>
      </c>
      <c r="C173" s="38" t="s">
        <v>187</v>
      </c>
      <c r="D173" s="38" t="s">
        <v>190</v>
      </c>
      <c r="E173" s="38" t="s">
        <v>170</v>
      </c>
      <c r="F173" s="37">
        <f>170000+10741.44+28800+100000+19700</f>
        <v>329241.44</v>
      </c>
      <c r="G173" s="37">
        <v>0</v>
      </c>
      <c r="H173" s="37">
        <v>0</v>
      </c>
    </row>
    <row r="174" spans="1:9" ht="15.75" x14ac:dyDescent="0.25">
      <c r="A174" s="60" t="s">
        <v>191</v>
      </c>
      <c r="B174" s="41" t="s">
        <v>110</v>
      </c>
      <c r="C174" s="41" t="s">
        <v>187</v>
      </c>
      <c r="D174" s="41" t="s">
        <v>192</v>
      </c>
      <c r="E174" s="41" t="s">
        <v>17</v>
      </c>
      <c r="F174" s="42">
        <f>45375-4125</f>
        <v>41250</v>
      </c>
      <c r="G174" s="42">
        <v>41250</v>
      </c>
      <c r="H174" s="42">
        <v>41250</v>
      </c>
    </row>
    <row r="175" spans="1:9" ht="31.5" x14ac:dyDescent="0.25">
      <c r="A175" s="47" t="s">
        <v>236</v>
      </c>
      <c r="B175" s="38" t="s">
        <v>110</v>
      </c>
      <c r="C175" s="38" t="s">
        <v>187</v>
      </c>
      <c r="D175" s="38" t="s">
        <v>237</v>
      </c>
      <c r="E175" s="38" t="s">
        <v>15</v>
      </c>
      <c r="F175" s="37">
        <f>80000-40000</f>
        <v>40000</v>
      </c>
      <c r="G175" s="37">
        <v>80000</v>
      </c>
      <c r="H175" s="37">
        <v>80000</v>
      </c>
      <c r="I175" s="7"/>
    </row>
    <row r="176" spans="1:9" ht="31.5" x14ac:dyDescent="0.25">
      <c r="A176" s="54" t="s">
        <v>193</v>
      </c>
      <c r="B176" s="24" t="s">
        <v>110</v>
      </c>
      <c r="C176" s="24" t="s">
        <v>187</v>
      </c>
      <c r="D176" s="21" t="s">
        <v>194</v>
      </c>
      <c r="E176" s="24" t="s">
        <v>15</v>
      </c>
      <c r="F176" s="25">
        <f>1500000-1500000+1500000-200000-400000-300000-150000-450000</f>
        <v>0</v>
      </c>
      <c r="G176" s="25">
        <f>1500000-1500000</f>
        <v>0</v>
      </c>
      <c r="H176" s="25">
        <f>1500000-1500000</f>
        <v>0</v>
      </c>
    </row>
    <row r="177" spans="1:8" ht="23.25" customHeight="1" x14ac:dyDescent="0.25">
      <c r="A177" s="54" t="s">
        <v>277</v>
      </c>
      <c r="B177" s="24" t="s">
        <v>110</v>
      </c>
      <c r="C177" s="24" t="s">
        <v>187</v>
      </c>
      <c r="D177" s="21" t="s">
        <v>194</v>
      </c>
      <c r="E177" s="24" t="s">
        <v>170</v>
      </c>
      <c r="F177" s="25">
        <f>450000+184826.6</f>
        <v>634826.6</v>
      </c>
      <c r="G177" s="25">
        <v>0</v>
      </c>
      <c r="H177" s="25">
        <v>0</v>
      </c>
    </row>
    <row r="178" spans="1:8" ht="47.25" x14ac:dyDescent="0.25">
      <c r="A178" s="47" t="s">
        <v>195</v>
      </c>
      <c r="B178" s="21" t="s">
        <v>110</v>
      </c>
      <c r="C178" s="21" t="s">
        <v>47</v>
      </c>
      <c r="D178" s="21" t="s">
        <v>196</v>
      </c>
      <c r="E178" s="21" t="s">
        <v>39</v>
      </c>
      <c r="F178" s="18">
        <f>4682986.2+2434396.43-115062.95+21326.76-136545.83+63296.73+14169.29-205651-118000</f>
        <v>6640915.6300000008</v>
      </c>
      <c r="G178" s="18">
        <f>4034561.17+2311498.72</f>
        <v>6346059.8900000006</v>
      </c>
      <c r="H178" s="18">
        <f>4034561.17+2311498.72</f>
        <v>6346059.8900000006</v>
      </c>
    </row>
    <row r="179" spans="1:8" ht="78.75" x14ac:dyDescent="0.25">
      <c r="A179" s="59" t="s">
        <v>268</v>
      </c>
      <c r="B179" s="19" t="s">
        <v>110</v>
      </c>
      <c r="C179" s="19" t="s">
        <v>47</v>
      </c>
      <c r="D179" s="21" t="s">
        <v>197</v>
      </c>
      <c r="E179" s="19" t="s">
        <v>39</v>
      </c>
      <c r="F179" s="35">
        <v>2186196</v>
      </c>
      <c r="G179" s="35">
        <v>0</v>
      </c>
      <c r="H179" s="35">
        <v>0</v>
      </c>
    </row>
    <row r="180" spans="1:8" ht="87" customHeight="1" x14ac:dyDescent="0.25">
      <c r="A180" s="59" t="s">
        <v>269</v>
      </c>
      <c r="B180" s="19" t="s">
        <v>110</v>
      </c>
      <c r="C180" s="19" t="s">
        <v>47</v>
      </c>
      <c r="D180" s="21" t="s">
        <v>252</v>
      </c>
      <c r="E180" s="19" t="s">
        <v>39</v>
      </c>
      <c r="F180" s="35">
        <v>115062.95</v>
      </c>
      <c r="G180" s="35">
        <v>0</v>
      </c>
      <c r="H180" s="35">
        <v>0</v>
      </c>
    </row>
    <row r="181" spans="1:8" ht="47.25" x14ac:dyDescent="0.25">
      <c r="A181" s="59" t="s">
        <v>97</v>
      </c>
      <c r="B181" s="19" t="s">
        <v>110</v>
      </c>
      <c r="C181" s="19" t="s">
        <v>98</v>
      </c>
      <c r="D181" s="21" t="s">
        <v>99</v>
      </c>
      <c r="E181" s="19" t="s">
        <v>15</v>
      </c>
      <c r="F181" s="35">
        <f>100000-43260</f>
        <v>56740</v>
      </c>
      <c r="G181" s="35">
        <v>100000</v>
      </c>
      <c r="H181" s="35">
        <v>100000</v>
      </c>
    </row>
    <row r="182" spans="1:8" ht="31.5" x14ac:dyDescent="0.25">
      <c r="A182" s="58" t="s">
        <v>198</v>
      </c>
      <c r="B182" s="21" t="s">
        <v>110</v>
      </c>
      <c r="C182" s="21" t="s">
        <v>199</v>
      </c>
      <c r="D182" s="21" t="s">
        <v>200</v>
      </c>
      <c r="E182" s="21" t="s">
        <v>70</v>
      </c>
      <c r="F182" s="18">
        <f>1864273.2-100000+297190.94-75837.76</f>
        <v>1985626.38</v>
      </c>
      <c r="G182" s="18">
        <v>1864273.2</v>
      </c>
      <c r="H182" s="18">
        <v>1864273.2</v>
      </c>
    </row>
    <row r="183" spans="1:8" ht="20.25" customHeight="1" x14ac:dyDescent="0.25">
      <c r="A183" s="62" t="s">
        <v>299</v>
      </c>
      <c r="B183" s="19" t="s">
        <v>110</v>
      </c>
      <c r="C183" s="19" t="s">
        <v>201</v>
      </c>
      <c r="D183" s="19" t="s">
        <v>300</v>
      </c>
      <c r="E183" s="19" t="s">
        <v>70</v>
      </c>
      <c r="F183" s="35">
        <f>20000+20000</f>
        <v>40000</v>
      </c>
      <c r="G183" s="35">
        <v>0</v>
      </c>
      <c r="H183" s="35">
        <v>0</v>
      </c>
    </row>
    <row r="184" spans="1:8" ht="37.5" customHeight="1" x14ac:dyDescent="0.25">
      <c r="A184" s="47" t="s">
        <v>270</v>
      </c>
      <c r="B184" s="39" t="s">
        <v>110</v>
      </c>
      <c r="C184" s="39" t="s">
        <v>201</v>
      </c>
      <c r="D184" s="19" t="s">
        <v>202</v>
      </c>
      <c r="E184" s="39" t="s">
        <v>70</v>
      </c>
      <c r="F184" s="40">
        <f>115864.56-115864.56</f>
        <v>0</v>
      </c>
      <c r="G184" s="40">
        <f>79656.89</f>
        <v>79656.89</v>
      </c>
      <c r="H184" s="40">
        <f>36207.68</f>
        <v>36207.68</v>
      </c>
    </row>
    <row r="185" spans="1:8" ht="78.75" x14ac:dyDescent="0.25">
      <c r="A185" s="54" t="s">
        <v>203</v>
      </c>
      <c r="B185" s="41" t="s">
        <v>110</v>
      </c>
      <c r="C185" s="41" t="s">
        <v>201</v>
      </c>
      <c r="D185" s="43" t="s">
        <v>204</v>
      </c>
      <c r="E185" s="41" t="s">
        <v>70</v>
      </c>
      <c r="F185" s="42">
        <f>86898.42-86898.42</f>
        <v>0</v>
      </c>
      <c r="G185" s="42">
        <f>37242.18</f>
        <v>37242.18</v>
      </c>
      <c r="H185" s="42">
        <f>49656.24</f>
        <v>49656.24</v>
      </c>
    </row>
    <row r="186" spans="1:8" ht="47.25" x14ac:dyDescent="0.25">
      <c r="A186" s="54" t="s">
        <v>205</v>
      </c>
      <c r="B186" s="24" t="s">
        <v>110</v>
      </c>
      <c r="C186" s="24" t="s">
        <v>201</v>
      </c>
      <c r="D186" s="24" t="s">
        <v>206</v>
      </c>
      <c r="E186" s="24" t="s">
        <v>39</v>
      </c>
      <c r="F186" s="25">
        <v>122500</v>
      </c>
      <c r="G186" s="25">
        <f>122500-117275.72</f>
        <v>5224.2799999999988</v>
      </c>
      <c r="H186" s="25">
        <v>122500</v>
      </c>
    </row>
    <row r="187" spans="1:8" ht="63" x14ac:dyDescent="0.25">
      <c r="A187" s="54" t="s">
        <v>207</v>
      </c>
      <c r="B187" s="24" t="s">
        <v>110</v>
      </c>
      <c r="C187" s="24" t="s">
        <v>78</v>
      </c>
      <c r="D187" s="24" t="s">
        <v>271</v>
      </c>
      <c r="E187" s="24" t="s">
        <v>208</v>
      </c>
      <c r="F187" s="25">
        <f>944222.4+1888444.8+423932.8-3800</f>
        <v>3252800</v>
      </c>
      <c r="G187" s="25">
        <v>1888444.8</v>
      </c>
      <c r="H187" s="25">
        <v>1888444.8</v>
      </c>
    </row>
    <row r="188" spans="1:8" ht="31.5" x14ac:dyDescent="0.25">
      <c r="A188" s="54" t="s">
        <v>209</v>
      </c>
      <c r="B188" s="24" t="s">
        <v>110</v>
      </c>
      <c r="C188" s="24" t="s">
        <v>210</v>
      </c>
      <c r="D188" s="24" t="s">
        <v>211</v>
      </c>
      <c r="E188" s="24" t="s">
        <v>15</v>
      </c>
      <c r="F188" s="25">
        <f>100000</f>
        <v>100000</v>
      </c>
      <c r="G188" s="25">
        <v>100000</v>
      </c>
      <c r="H188" s="25">
        <v>100000</v>
      </c>
    </row>
    <row r="189" spans="1:8" ht="15.75" x14ac:dyDescent="0.25">
      <c r="A189" s="8" t="s">
        <v>212</v>
      </c>
      <c r="B189" s="26"/>
      <c r="C189" s="26"/>
      <c r="D189" s="26"/>
      <c r="E189" s="26"/>
      <c r="F189" s="33">
        <f>F6+F92+F101+F106</f>
        <v>461675086.10999995</v>
      </c>
      <c r="G189" s="33">
        <f>G6+G92+G101+G106</f>
        <v>344764875.34999996</v>
      </c>
      <c r="H189" s="33">
        <f>H6+H92+H101+H106</f>
        <v>324606462.87</v>
      </c>
    </row>
    <row r="192" spans="1:8" x14ac:dyDescent="0.25">
      <c r="F192" s="11"/>
    </row>
  </sheetData>
  <mergeCells count="4">
    <mergeCell ref="F1:H1"/>
    <mergeCell ref="A2:H2"/>
    <mergeCell ref="A3:H3"/>
    <mergeCell ref="G4:H4"/>
  </mergeCells>
  <pageMargins left="0.31496062992125984" right="0.31496062992125984" top="0.35433070866141736" bottom="0.35433070866141736" header="0.31496062992125984" footer="0.31496062992125984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Декабрь</vt:lpstr>
      <vt:lpstr>Декабрь!Область_печати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Eko</cp:lastModifiedBy>
  <cp:lastPrinted>2022-12-21T10:20:41Z</cp:lastPrinted>
  <dcterms:created xsi:type="dcterms:W3CDTF">2021-01-26T11:28:42Z</dcterms:created>
  <dcterms:modified xsi:type="dcterms:W3CDTF">2022-12-23T11:22:04Z</dcterms:modified>
</cp:coreProperties>
</file>